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ejmbpro/Desktop/"/>
    </mc:Choice>
  </mc:AlternateContent>
  <xr:revisionPtr revIDLastSave="0" documentId="13_ncr:1_{8BF85642-98EE-3C40-B6F7-821736CFE8AB}" xr6:coauthVersionLast="47" xr6:coauthVersionMax="47" xr10:uidLastSave="{00000000-0000-0000-0000-000000000000}"/>
  <bookViews>
    <workbookView xWindow="32540" yWindow="-20300" windowWidth="52120" windowHeight="31420" activeTab="7" xr2:uid="{6684DC6D-372D-4517-8112-853C6776375C}"/>
  </bookViews>
  <sheets>
    <sheet name="Info" sheetId="1" r:id="rId1"/>
    <sheet name="Input" sheetId="2" r:id="rId2"/>
    <sheet name="Calculation" sheetId="3" r:id="rId3"/>
    <sheet name="Profit and Loss" sheetId="4" r:id="rId4"/>
    <sheet name="Cash Flow" sheetId="5" r:id="rId5"/>
    <sheet name="Balance Sheet" sheetId="6" r:id="rId6"/>
    <sheet name="Valuation" sheetId="7" r:id="rId7"/>
    <sheet name="ROI" sheetId="8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iZ8T+Hf+bOGMJZ/Jk0JsC4AZZFmw=="/>
    </ext>
  </extLst>
</workbook>
</file>

<file path=xl/calcChain.xml><?xml version="1.0" encoding="utf-8"?>
<calcChain xmlns="http://schemas.openxmlformats.org/spreadsheetml/2006/main">
  <c r="B9" i="3" l="1"/>
  <c r="B14" i="3"/>
  <c r="D178" i="2"/>
  <c r="J178" i="2"/>
  <c r="E178" i="2"/>
  <c r="F178" i="2"/>
  <c r="G178" i="2"/>
  <c r="H178" i="2"/>
  <c r="P121" i="2"/>
  <c r="D136" i="2"/>
  <c r="Q92" i="2"/>
  <c r="D174" i="2" l="1"/>
  <c r="D173" i="2"/>
  <c r="D172" i="2"/>
  <c r="D171" i="2"/>
  <c r="R183" i="2"/>
  <c r="O214" i="2"/>
  <c r="P214" i="2"/>
  <c r="Q214" i="2"/>
  <c r="L214" i="2"/>
  <c r="L213" i="2"/>
  <c r="T212" i="2"/>
  <c r="Q212" i="2"/>
  <c r="P212" i="2"/>
  <c r="M212" i="2"/>
  <c r="N212" i="2"/>
  <c r="O212" i="2"/>
  <c r="L212" i="2"/>
  <c r="T187" i="2"/>
  <c r="Q187" i="2"/>
  <c r="R187" i="2"/>
  <c r="S187" i="2"/>
  <c r="P187" i="2"/>
  <c r="J187" i="2"/>
  <c r="K187" i="2"/>
  <c r="L187" i="2"/>
  <c r="M187" i="2"/>
  <c r="N187" i="2"/>
  <c r="O187" i="2"/>
  <c r="I187" i="2"/>
  <c r="K178" i="2"/>
  <c r="L178" i="2"/>
  <c r="M178" i="2"/>
  <c r="N178" i="2"/>
  <c r="O178" i="2"/>
  <c r="I178" i="2"/>
  <c r="T177" i="2"/>
  <c r="Q177" i="2"/>
  <c r="R177" i="2"/>
  <c r="S177" i="2"/>
  <c r="P177" i="2"/>
  <c r="O177" i="2"/>
  <c r="T222" i="2"/>
  <c r="S222" i="2"/>
  <c r="Q222" i="2"/>
  <c r="R222" i="2"/>
  <c r="P222" i="2"/>
  <c r="M222" i="2"/>
  <c r="N222" i="2"/>
  <c r="O222" i="2"/>
  <c r="L222" i="2"/>
  <c r="O179" i="2"/>
  <c r="O136" i="2"/>
  <c r="G136" i="2"/>
  <c r="P136" i="2"/>
  <c r="S212" i="2"/>
  <c r="R212" i="2"/>
  <c r="B26" i="3"/>
  <c r="T136" i="2"/>
  <c r="S136" i="2"/>
  <c r="R136" i="2"/>
  <c r="Q136" i="2"/>
  <c r="N136" i="2"/>
  <c r="M136" i="2"/>
  <c r="L136" i="2"/>
  <c r="K136" i="2"/>
  <c r="J136" i="2"/>
  <c r="I136" i="2"/>
  <c r="H136" i="2"/>
  <c r="F136" i="2"/>
  <c r="E136" i="2"/>
  <c r="T121" i="2"/>
  <c r="S121" i="2"/>
  <c r="R121" i="2"/>
  <c r="Q121" i="2"/>
  <c r="D31" i="2"/>
  <c r="D37" i="2" s="1"/>
  <c r="D34" i="2"/>
  <c r="D39" i="2" l="1"/>
  <c r="D41" i="2" s="1"/>
  <c r="D45" i="2" s="1"/>
  <c r="D115" i="2" s="1"/>
  <c r="A8" i="8"/>
  <c r="A7" i="8"/>
  <c r="A6" i="8"/>
  <c r="A5" i="8"/>
  <c r="A4" i="8"/>
  <c r="A3" i="8"/>
  <c r="E11" i="7"/>
  <c r="B4" i="8" s="1"/>
  <c r="D6" i="7"/>
  <c r="E6" i="7" s="1"/>
  <c r="F6" i="7" s="1"/>
  <c r="G6" i="7" s="1"/>
  <c r="H6" i="7" s="1"/>
  <c r="G5" i="7"/>
  <c r="F5" i="7"/>
  <c r="E5" i="7"/>
  <c r="F23" i="6"/>
  <c r="E23" i="6"/>
  <c r="D23" i="6"/>
  <c r="F5" i="6"/>
  <c r="E5" i="6"/>
  <c r="D5" i="6"/>
  <c r="F5" i="5"/>
  <c r="E5" i="5"/>
  <c r="D5" i="5"/>
  <c r="G30" i="4"/>
  <c r="G26" i="4"/>
  <c r="F5" i="4"/>
  <c r="D2" i="8" s="1"/>
  <c r="E5" i="4"/>
  <c r="C2" i="8" s="1"/>
  <c r="D5" i="4"/>
  <c r="B2" i="8" s="1"/>
  <c r="F104" i="3"/>
  <c r="F10" i="5" s="1"/>
  <c r="F11" i="5" s="1"/>
  <c r="G14" i="7" s="1"/>
  <c r="D7" i="8" s="1"/>
  <c r="E104" i="3"/>
  <c r="E10" i="5" s="1"/>
  <c r="E11" i="5" s="1"/>
  <c r="F14" i="7" s="1"/>
  <c r="C7" i="8" s="1"/>
  <c r="D104" i="3"/>
  <c r="D25" i="4" s="1"/>
  <c r="B98" i="3"/>
  <c r="B97" i="3"/>
  <c r="B95" i="3"/>
  <c r="D94" i="3"/>
  <c r="B94" i="3"/>
  <c r="B93" i="3"/>
  <c r="B91" i="3"/>
  <c r="B90" i="3"/>
  <c r="B89" i="3"/>
  <c r="B88" i="3"/>
  <c r="F84" i="3"/>
  <c r="E84" i="3"/>
  <c r="D84" i="3"/>
  <c r="B84" i="3"/>
  <c r="F83" i="3"/>
  <c r="E83" i="3"/>
  <c r="D83" i="3"/>
  <c r="B83" i="3"/>
  <c r="F82" i="3"/>
  <c r="E82" i="3"/>
  <c r="D82" i="3"/>
  <c r="B82" i="3"/>
  <c r="F81" i="3"/>
  <c r="E81" i="3"/>
  <c r="D81" i="3"/>
  <c r="B81" i="3"/>
  <c r="B80" i="3"/>
  <c r="B78" i="3"/>
  <c r="B77" i="3"/>
  <c r="B76" i="3"/>
  <c r="B74" i="3"/>
  <c r="D71" i="3"/>
  <c r="B71" i="3"/>
  <c r="B70" i="3"/>
  <c r="B68" i="3"/>
  <c r="D67" i="3"/>
  <c r="B67" i="3"/>
  <c r="B66" i="3"/>
  <c r="D64" i="3"/>
  <c r="B64" i="3"/>
  <c r="B63" i="3"/>
  <c r="B62" i="3"/>
  <c r="B61" i="3"/>
  <c r="B57" i="3"/>
  <c r="B56" i="3"/>
  <c r="B55" i="3"/>
  <c r="B54" i="3"/>
  <c r="B50" i="3"/>
  <c r="B49" i="3"/>
  <c r="B48" i="3"/>
  <c r="B46" i="3"/>
  <c r="B44" i="3"/>
  <c r="D43" i="3"/>
  <c r="D22" i="4" s="1"/>
  <c r="B43" i="3"/>
  <c r="D42" i="3"/>
  <c r="D21" i="4" s="1"/>
  <c r="B42" i="3"/>
  <c r="F41" i="3"/>
  <c r="E41" i="3"/>
  <c r="D41" i="3"/>
  <c r="D20" i="4" s="1"/>
  <c r="B41" i="3"/>
  <c r="B40" i="3"/>
  <c r="D38" i="3"/>
  <c r="B38" i="3"/>
  <c r="B37" i="3"/>
  <c r="B35" i="3"/>
  <c r="D34" i="3"/>
  <c r="B34" i="3"/>
  <c r="B33" i="3"/>
  <c r="D31" i="3"/>
  <c r="B31" i="3"/>
  <c r="B30" i="3"/>
  <c r="C28" i="3"/>
  <c r="B28" i="3"/>
  <c r="C27" i="3"/>
  <c r="B27" i="3"/>
  <c r="B24" i="3"/>
  <c r="B19" i="3"/>
  <c r="F98" i="3"/>
  <c r="D98" i="3"/>
  <c r="T219" i="2"/>
  <c r="F95" i="3" s="1"/>
  <c r="S219" i="2"/>
  <c r="R219" i="2"/>
  <c r="Q219" i="2"/>
  <c r="P219" i="2"/>
  <c r="O219" i="2"/>
  <c r="N219" i="2"/>
  <c r="M219" i="2"/>
  <c r="T218" i="2"/>
  <c r="F94" i="3" s="1"/>
  <c r="S218" i="2"/>
  <c r="R218" i="2"/>
  <c r="T214" i="2"/>
  <c r="F91" i="3" s="1"/>
  <c r="S214" i="2"/>
  <c r="R214" i="2"/>
  <c r="N214" i="2"/>
  <c r="M214" i="2"/>
  <c r="T213" i="2"/>
  <c r="F90" i="3" s="1"/>
  <c r="S213" i="2"/>
  <c r="R213" i="2"/>
  <c r="Q213" i="2"/>
  <c r="P213" i="2"/>
  <c r="O213" i="2"/>
  <c r="N213" i="2"/>
  <c r="M213" i="2"/>
  <c r="F89" i="3"/>
  <c r="F71" i="3"/>
  <c r="O184" i="2"/>
  <c r="S184" i="2" s="1"/>
  <c r="N184" i="2"/>
  <c r="M184" i="2"/>
  <c r="L184" i="2"/>
  <c r="K184" i="2"/>
  <c r="J184" i="2"/>
  <c r="I184" i="2"/>
  <c r="T183" i="2"/>
  <c r="F67" i="3" s="1"/>
  <c r="S183" i="2"/>
  <c r="Q183" i="2"/>
  <c r="P183" i="2"/>
  <c r="T179" i="2"/>
  <c r="F64" i="3" s="1"/>
  <c r="S179" i="2"/>
  <c r="R179" i="2"/>
  <c r="Q179" i="2"/>
  <c r="P179" i="2"/>
  <c r="T178" i="2"/>
  <c r="F63" i="3" s="1"/>
  <c r="S178" i="2"/>
  <c r="R178" i="2"/>
  <c r="Q178" i="2"/>
  <c r="P178" i="2"/>
  <c r="F62" i="3"/>
  <c r="F56" i="3"/>
  <c r="F54" i="3"/>
  <c r="F44" i="3"/>
  <c r="F23" i="4" s="1"/>
  <c r="E44" i="3"/>
  <c r="E23" i="4" s="1"/>
  <c r="D44" i="3"/>
  <c r="T135" i="2"/>
  <c r="F43" i="3" s="1"/>
  <c r="F22" i="4" s="1"/>
  <c r="S135" i="2"/>
  <c r="R135" i="2"/>
  <c r="Q135" i="2"/>
  <c r="P135" i="2"/>
  <c r="T134" i="2"/>
  <c r="F42" i="3" s="1"/>
  <c r="S134" i="2"/>
  <c r="R134" i="2"/>
  <c r="Q134" i="2"/>
  <c r="P134" i="2"/>
  <c r="T129" i="2"/>
  <c r="F38" i="3" s="1"/>
  <c r="S129" i="2"/>
  <c r="R129" i="2"/>
  <c r="Q129" i="2"/>
  <c r="P129" i="2"/>
  <c r="O126" i="2"/>
  <c r="S126" i="2" s="1"/>
  <c r="N126" i="2"/>
  <c r="M126" i="2"/>
  <c r="L126" i="2"/>
  <c r="K126" i="2"/>
  <c r="J126" i="2"/>
  <c r="I126" i="2"/>
  <c r="H126" i="2"/>
  <c r="G126" i="2"/>
  <c r="F126" i="2"/>
  <c r="E126" i="2"/>
  <c r="T125" i="2"/>
  <c r="F34" i="3" s="1"/>
  <c r="S125" i="2"/>
  <c r="R125" i="2"/>
  <c r="Q125" i="2"/>
  <c r="P125" i="2"/>
  <c r="F31" i="3"/>
  <c r="N95" i="2"/>
  <c r="N101" i="2" s="1"/>
  <c r="N103" i="2" s="1"/>
  <c r="N105" i="2" s="1"/>
  <c r="N109" i="2" s="1"/>
  <c r="M95" i="2"/>
  <c r="M98" i="2" s="1"/>
  <c r="L95" i="2"/>
  <c r="L101" i="2" s="1"/>
  <c r="L103" i="2" s="1"/>
  <c r="L105" i="2" s="1"/>
  <c r="L109" i="2" s="1"/>
  <c r="K95" i="2"/>
  <c r="K101" i="2" s="1"/>
  <c r="K103" i="2" s="1"/>
  <c r="K105" i="2" s="1"/>
  <c r="K109" i="2" s="1"/>
  <c r="J95" i="2"/>
  <c r="J101" i="2" s="1"/>
  <c r="J103" i="2" s="1"/>
  <c r="J105" i="2" s="1"/>
  <c r="J109" i="2" s="1"/>
  <c r="I95" i="2"/>
  <c r="I98" i="2" s="1"/>
  <c r="H95" i="2"/>
  <c r="H101" i="2" s="1"/>
  <c r="H103" i="2" s="1"/>
  <c r="H105" i="2" s="1"/>
  <c r="H109" i="2" s="1"/>
  <c r="G95" i="2"/>
  <c r="G101" i="2" s="1"/>
  <c r="G103" i="2" s="1"/>
  <c r="G105" i="2" s="1"/>
  <c r="G109" i="2" s="1"/>
  <c r="F95" i="2"/>
  <c r="F101" i="2" s="1"/>
  <c r="F103" i="2" s="1"/>
  <c r="F105" i="2" s="1"/>
  <c r="F109" i="2" s="1"/>
  <c r="E95" i="2"/>
  <c r="E98" i="2" s="1"/>
  <c r="D95" i="2"/>
  <c r="D101" i="2" s="1"/>
  <c r="D103" i="2" s="1"/>
  <c r="D105" i="2" s="1"/>
  <c r="D109" i="2" s="1"/>
  <c r="O95" i="2"/>
  <c r="P88" i="2"/>
  <c r="O88" i="2"/>
  <c r="D20" i="3" s="1"/>
  <c r="N88" i="2"/>
  <c r="M88" i="2"/>
  <c r="L88" i="2"/>
  <c r="K88" i="2"/>
  <c r="J88" i="2"/>
  <c r="I88" i="2"/>
  <c r="H88" i="2"/>
  <c r="G88" i="2"/>
  <c r="F88" i="2"/>
  <c r="E88" i="2"/>
  <c r="D88" i="2"/>
  <c r="Q84" i="2"/>
  <c r="Q88" i="2" s="1"/>
  <c r="J63" i="2"/>
  <c r="J69" i="2" s="1"/>
  <c r="J71" i="2" s="1"/>
  <c r="J73" i="2" s="1"/>
  <c r="J77" i="2" s="1"/>
  <c r="I63" i="2"/>
  <c r="I69" i="2" s="1"/>
  <c r="I71" i="2" s="1"/>
  <c r="I73" i="2" s="1"/>
  <c r="I77" i="2" s="1"/>
  <c r="H63" i="2"/>
  <c r="H69" i="2" s="1"/>
  <c r="H71" i="2" s="1"/>
  <c r="H73" i="2" s="1"/>
  <c r="H77" i="2" s="1"/>
  <c r="G63" i="2"/>
  <c r="G69" i="2" s="1"/>
  <c r="G71" i="2" s="1"/>
  <c r="G73" i="2" s="1"/>
  <c r="G77" i="2" s="1"/>
  <c r="F63" i="2"/>
  <c r="F69" i="2" s="1"/>
  <c r="F71" i="2" s="1"/>
  <c r="F73" i="2" s="1"/>
  <c r="F77" i="2" s="1"/>
  <c r="E63" i="2"/>
  <c r="E69" i="2" s="1"/>
  <c r="E71" i="2" s="1"/>
  <c r="E73" i="2" s="1"/>
  <c r="E77" i="2" s="1"/>
  <c r="D63" i="2"/>
  <c r="D69" i="2" s="1"/>
  <c r="D71" i="2" s="1"/>
  <c r="D73" i="2" s="1"/>
  <c r="D77" i="2" s="1"/>
  <c r="K60" i="2"/>
  <c r="K63" i="2" s="1"/>
  <c r="K56" i="2"/>
  <c r="J56" i="2"/>
  <c r="I56" i="2"/>
  <c r="H56" i="2"/>
  <c r="G56" i="2"/>
  <c r="F56" i="2"/>
  <c r="E56" i="2"/>
  <c r="D56" i="2"/>
  <c r="L52" i="2"/>
  <c r="E31" i="2"/>
  <c r="E34" i="2" s="1"/>
  <c r="D24" i="2"/>
  <c r="E20" i="2"/>
  <c r="E24" i="2" s="1"/>
  <c r="E94" i="3" l="1"/>
  <c r="D90" i="3"/>
  <c r="L56" i="2"/>
  <c r="P126" i="2"/>
  <c r="T126" i="2"/>
  <c r="F35" i="3" s="1"/>
  <c r="F33" i="3" s="1"/>
  <c r="P184" i="2"/>
  <c r="D35" i="3"/>
  <c r="D33" i="3" s="1"/>
  <c r="E86" i="3"/>
  <c r="F80" i="3"/>
  <c r="R84" i="2"/>
  <c r="S84" i="2" s="1"/>
  <c r="D40" i="3"/>
  <c r="E67" i="3"/>
  <c r="F20" i="4"/>
  <c r="F40" i="3"/>
  <c r="E80" i="3"/>
  <c r="F17" i="4"/>
  <c r="E20" i="4"/>
  <c r="F86" i="3"/>
  <c r="J98" i="2"/>
  <c r="M101" i="2"/>
  <c r="M103" i="2" s="1"/>
  <c r="M105" i="2" s="1"/>
  <c r="M109" i="2" s="1"/>
  <c r="M194" i="2" s="1"/>
  <c r="D95" i="3"/>
  <c r="D66" i="2"/>
  <c r="G66" i="2"/>
  <c r="H66" i="2"/>
  <c r="D17" i="4"/>
  <c r="D80" i="3"/>
  <c r="D86" i="3"/>
  <c r="E90" i="3"/>
  <c r="E95" i="3"/>
  <c r="Q126" i="2"/>
  <c r="T184" i="2"/>
  <c r="F68" i="3" s="1"/>
  <c r="F66" i="3" s="1"/>
  <c r="F61" i="3"/>
  <c r="F93" i="3"/>
  <c r="E71" i="3"/>
  <c r="N98" i="2"/>
  <c r="E101" i="2"/>
  <c r="E103" i="2" s="1"/>
  <c r="E105" i="2" s="1"/>
  <c r="E109" i="2" s="1"/>
  <c r="E194" i="2" s="1"/>
  <c r="F98" i="2"/>
  <c r="I101" i="2"/>
  <c r="I103" i="2" s="1"/>
  <c r="I105" i="2" s="1"/>
  <c r="I109" i="2" s="1"/>
  <c r="I196" i="2" s="1"/>
  <c r="D117" i="2"/>
  <c r="D161" i="2"/>
  <c r="D159" i="2"/>
  <c r="H161" i="2"/>
  <c r="H159" i="2"/>
  <c r="K66" i="2"/>
  <c r="K69" i="2"/>
  <c r="K71" i="2" s="1"/>
  <c r="K73" i="2" s="1"/>
  <c r="K77" i="2" s="1"/>
  <c r="I161" i="2"/>
  <c r="I159" i="2"/>
  <c r="E161" i="2"/>
  <c r="E159" i="2"/>
  <c r="F159" i="2"/>
  <c r="F161" i="2"/>
  <c r="J159" i="2"/>
  <c r="J161" i="2"/>
  <c r="G161" i="2"/>
  <c r="G159" i="2"/>
  <c r="E37" i="2"/>
  <c r="E39" i="2" s="1"/>
  <c r="E41" i="2" s="1"/>
  <c r="E45" i="2" s="1"/>
  <c r="R88" i="2"/>
  <c r="O101" i="2"/>
  <c r="O103" i="2" s="1"/>
  <c r="O105" i="2" s="1"/>
  <c r="O109" i="2" s="1"/>
  <c r="O98" i="2"/>
  <c r="D21" i="3" s="1"/>
  <c r="K196" i="2"/>
  <c r="K194" i="2"/>
  <c r="F20" i="2"/>
  <c r="N52" i="2"/>
  <c r="M56" i="2"/>
  <c r="E66" i="2"/>
  <c r="I66" i="2"/>
  <c r="D196" i="2"/>
  <c r="D194" i="2"/>
  <c r="H196" i="2"/>
  <c r="H194" i="2"/>
  <c r="L196" i="2"/>
  <c r="L194" i="2"/>
  <c r="G196" i="2"/>
  <c r="G194" i="2"/>
  <c r="F66" i="2"/>
  <c r="J66" i="2"/>
  <c r="F194" i="2"/>
  <c r="F196" i="2"/>
  <c r="J194" i="2"/>
  <c r="J196" i="2"/>
  <c r="N194" i="2"/>
  <c r="N196" i="2"/>
  <c r="D23" i="4"/>
  <c r="D24" i="4" s="1"/>
  <c r="E55" i="3"/>
  <c r="D55" i="3"/>
  <c r="G98" i="2"/>
  <c r="K98" i="2"/>
  <c r="E31" i="3"/>
  <c r="R126" i="2"/>
  <c r="E38" i="3"/>
  <c r="E56" i="3"/>
  <c r="D56" i="3"/>
  <c r="D63" i="3"/>
  <c r="D68" i="3"/>
  <c r="Q184" i="2"/>
  <c r="D91" i="3"/>
  <c r="E91" i="3"/>
  <c r="D98" i="2"/>
  <c r="H98" i="2"/>
  <c r="L98" i="2"/>
  <c r="E34" i="3"/>
  <c r="E42" i="3"/>
  <c r="F21" i="4"/>
  <c r="E57" i="3"/>
  <c r="D57" i="3"/>
  <c r="E63" i="3"/>
  <c r="R184" i="2"/>
  <c r="E98" i="3"/>
  <c r="F55" i="3"/>
  <c r="F57" i="3"/>
  <c r="E43" i="3"/>
  <c r="E22" i="4" s="1"/>
  <c r="E54" i="3"/>
  <c r="D54" i="3"/>
  <c r="D62" i="3"/>
  <c r="E64" i="3"/>
  <c r="D89" i="3"/>
  <c r="D88" i="3" s="1"/>
  <c r="E89" i="3"/>
  <c r="F88" i="3"/>
  <c r="E25" i="4"/>
  <c r="E107" i="3"/>
  <c r="F107" i="3" s="1"/>
  <c r="F25" i="4"/>
  <c r="D10" i="5"/>
  <c r="D106" i="3"/>
  <c r="F108" i="3"/>
  <c r="E196" i="2" l="1"/>
  <c r="I194" i="2"/>
  <c r="E35" i="3"/>
  <c r="E33" i="3" s="1"/>
  <c r="E40" i="3"/>
  <c r="F24" i="4"/>
  <c r="D11" i="5"/>
  <c r="E14" i="7" s="1"/>
  <c r="B7" i="8" s="1"/>
  <c r="F59" i="3"/>
  <c r="F13" i="4" s="1"/>
  <c r="F15" i="4"/>
  <c r="D93" i="3"/>
  <c r="E17" i="4"/>
  <c r="M196" i="2"/>
  <c r="E68" i="3"/>
  <c r="E66" i="3" s="1"/>
  <c r="F53" i="3"/>
  <c r="F12" i="4" s="1"/>
  <c r="F16" i="4"/>
  <c r="E59" i="3"/>
  <c r="E13" i="4" s="1"/>
  <c r="E53" i="3"/>
  <c r="E12" i="4" s="1"/>
  <c r="E93" i="3"/>
  <c r="D59" i="3"/>
  <c r="D13" i="4" s="1"/>
  <c r="D53" i="3"/>
  <c r="D12" i="4" s="1"/>
  <c r="D61" i="3"/>
  <c r="D15" i="4" s="1"/>
  <c r="E62" i="3"/>
  <c r="E61" i="3" s="1"/>
  <c r="E106" i="3"/>
  <c r="E105" i="3" s="1"/>
  <c r="D105" i="3"/>
  <c r="D22" i="3"/>
  <c r="O196" i="2"/>
  <c r="D78" i="3" s="1"/>
  <c r="O194" i="2"/>
  <c r="D77" i="3" s="1"/>
  <c r="E88" i="3"/>
  <c r="D66" i="3"/>
  <c r="D16" i="4" s="1"/>
  <c r="L63" i="2"/>
  <c r="M60" i="2"/>
  <c r="G20" i="2"/>
  <c r="F24" i="2"/>
  <c r="P95" i="2"/>
  <c r="F31" i="2"/>
  <c r="F34" i="2" s="1"/>
  <c r="E21" i="4"/>
  <c r="E24" i="4" s="1"/>
  <c r="S88" i="2"/>
  <c r="E20" i="3" s="1"/>
  <c r="T84" i="2"/>
  <c r="N56" i="2"/>
  <c r="O52" i="2"/>
  <c r="E117" i="2"/>
  <c r="E115" i="2"/>
  <c r="K161" i="2"/>
  <c r="K159" i="2"/>
  <c r="E16" i="4" l="1"/>
  <c r="F14" i="4"/>
  <c r="E15" i="4"/>
  <c r="D14" i="4"/>
  <c r="E14" i="4"/>
  <c r="F13" i="7"/>
  <c r="C6" i="8" s="1"/>
  <c r="E8" i="5"/>
  <c r="O56" i="2"/>
  <c r="D15" i="3" s="1"/>
  <c r="P52" i="2"/>
  <c r="Q95" i="2"/>
  <c r="R92" i="2"/>
  <c r="F37" i="2"/>
  <c r="F39" i="2" s="1"/>
  <c r="F41" i="2" s="1"/>
  <c r="F45" i="2" s="1"/>
  <c r="L66" i="2"/>
  <c r="L69" i="2"/>
  <c r="L71" i="2" s="1"/>
  <c r="L73" i="2" s="1"/>
  <c r="L77" i="2" s="1"/>
  <c r="F106" i="3"/>
  <c r="F105" i="3" s="1"/>
  <c r="T88" i="2"/>
  <c r="F20" i="3" s="1"/>
  <c r="M63" i="2"/>
  <c r="N60" i="2"/>
  <c r="O60" i="2" s="1"/>
  <c r="P60" i="2" s="1"/>
  <c r="Q60" i="2" s="1"/>
  <c r="P101" i="2"/>
  <c r="P103" i="2" s="1"/>
  <c r="P105" i="2" s="1"/>
  <c r="P109" i="2" s="1"/>
  <c r="P98" i="2"/>
  <c r="G31" i="2"/>
  <c r="G34" i="2" s="1"/>
  <c r="G24" i="2"/>
  <c r="H20" i="2"/>
  <c r="D8" i="5"/>
  <c r="E13" i="7"/>
  <c r="B6" i="8" s="1"/>
  <c r="D109" i="3"/>
  <c r="D10" i="6" s="1"/>
  <c r="D8" i="6" s="1"/>
  <c r="E109" i="3"/>
  <c r="E10" i="6" s="1"/>
  <c r="E8" i="6" s="1"/>
  <c r="G37" i="2" l="1"/>
  <c r="G39" i="2" s="1"/>
  <c r="G41" i="2" s="1"/>
  <c r="G45" i="2" s="1"/>
  <c r="G117" i="2" s="1"/>
  <c r="F8" i="5"/>
  <c r="G13" i="7"/>
  <c r="D6" i="8" s="1"/>
  <c r="H24" i="2"/>
  <c r="I20" i="2"/>
  <c r="J20" i="2" s="1"/>
  <c r="K20" i="2" s="1"/>
  <c r="L161" i="2"/>
  <c r="L159" i="2"/>
  <c r="Q98" i="2"/>
  <c r="Q101" i="2"/>
  <c r="Q103" i="2" s="1"/>
  <c r="Q105" i="2" s="1"/>
  <c r="Q109" i="2" s="1"/>
  <c r="M66" i="2"/>
  <c r="M69" i="2"/>
  <c r="M71" i="2" s="1"/>
  <c r="M73" i="2" s="1"/>
  <c r="M77" i="2" s="1"/>
  <c r="R95" i="2"/>
  <c r="S92" i="2"/>
  <c r="P196" i="2"/>
  <c r="P194" i="2"/>
  <c r="F109" i="3"/>
  <c r="F10" i="6" s="1"/>
  <c r="F8" i="6" s="1"/>
  <c r="H31" i="2"/>
  <c r="H34" i="2" s="1"/>
  <c r="N63" i="2"/>
  <c r="F117" i="2"/>
  <c r="F115" i="2"/>
  <c r="Q52" i="2"/>
  <c r="P56" i="2"/>
  <c r="G115" i="2" l="1"/>
  <c r="R98" i="2"/>
  <c r="R101" i="2"/>
  <c r="R103" i="2" s="1"/>
  <c r="R105" i="2" s="1"/>
  <c r="R109" i="2" s="1"/>
  <c r="Q56" i="2"/>
  <c r="R52" i="2"/>
  <c r="N66" i="2"/>
  <c r="N69" i="2"/>
  <c r="N71" i="2" s="1"/>
  <c r="N73" i="2" s="1"/>
  <c r="N77" i="2" s="1"/>
  <c r="M161" i="2"/>
  <c r="M159" i="2"/>
  <c r="Q196" i="2"/>
  <c r="Q194" i="2"/>
  <c r="I24" i="2"/>
  <c r="O63" i="2"/>
  <c r="I31" i="2"/>
  <c r="I34" i="2" s="1"/>
  <c r="S95" i="2"/>
  <c r="T92" i="2"/>
  <c r="T95" i="2" s="1"/>
  <c r="H37" i="2"/>
  <c r="H39" i="2" s="1"/>
  <c r="H41" i="2" s="1"/>
  <c r="H45" i="2" s="1"/>
  <c r="I37" i="2" l="1"/>
  <c r="I39" i="2" s="1"/>
  <c r="I41" i="2" s="1"/>
  <c r="I45" i="2" s="1"/>
  <c r="I117" i="2" s="1"/>
  <c r="S98" i="2"/>
  <c r="E21" i="3" s="1"/>
  <c r="S101" i="2"/>
  <c r="S103" i="2" s="1"/>
  <c r="S105" i="2" s="1"/>
  <c r="S109" i="2" s="1"/>
  <c r="P63" i="2"/>
  <c r="J24" i="2"/>
  <c r="O66" i="2"/>
  <c r="D16" i="3" s="1"/>
  <c r="O69" i="2"/>
  <c r="O71" i="2" s="1"/>
  <c r="O73" i="2" s="1"/>
  <c r="O77" i="2" s="1"/>
  <c r="N159" i="2"/>
  <c r="N161" i="2"/>
  <c r="J31" i="2"/>
  <c r="J34" i="2" s="1"/>
  <c r="K28" i="2"/>
  <c r="R194" i="2"/>
  <c r="R196" i="2"/>
  <c r="H115" i="2"/>
  <c r="H117" i="2"/>
  <c r="T98" i="2"/>
  <c r="F21" i="3" s="1"/>
  <c r="T101" i="2"/>
  <c r="R56" i="2"/>
  <c r="S52" i="2"/>
  <c r="T103" i="2" l="1"/>
  <c r="T105" i="2" s="1"/>
  <c r="T109" i="2" s="1"/>
  <c r="F22" i="3" s="1"/>
  <c r="U101" i="2"/>
  <c r="I115" i="2"/>
  <c r="S56" i="2"/>
  <c r="E15" i="3" s="1"/>
  <c r="T52" i="2"/>
  <c r="Q63" i="2"/>
  <c r="R60" i="2"/>
  <c r="J37" i="2"/>
  <c r="J39" i="2" s="1"/>
  <c r="J41" i="2" s="1"/>
  <c r="J45" i="2" s="1"/>
  <c r="P66" i="2"/>
  <c r="P69" i="2"/>
  <c r="P71" i="2" s="1"/>
  <c r="P73" i="2" s="1"/>
  <c r="P77" i="2" s="1"/>
  <c r="E22" i="3"/>
  <c r="S196" i="2"/>
  <c r="E78" i="3" s="1"/>
  <c r="S194" i="2"/>
  <c r="E77" i="3" s="1"/>
  <c r="L28" i="2"/>
  <c r="K31" i="2"/>
  <c r="K34" i="2" s="1"/>
  <c r="D17" i="3"/>
  <c r="O161" i="2"/>
  <c r="D50" i="3" s="1"/>
  <c r="O159" i="2"/>
  <c r="D49" i="3" s="1"/>
  <c r="K24" i="2"/>
  <c r="L20" i="2"/>
  <c r="T194" i="2" l="1"/>
  <c r="F77" i="3" s="1"/>
  <c r="T196" i="2"/>
  <c r="F78" i="3" s="1"/>
  <c r="P161" i="2"/>
  <c r="P159" i="2"/>
  <c r="Q66" i="2"/>
  <c r="Q69" i="2"/>
  <c r="Q71" i="2" s="1"/>
  <c r="Q73" i="2" s="1"/>
  <c r="Q77" i="2" s="1"/>
  <c r="L31" i="2"/>
  <c r="L34" i="2" s="1"/>
  <c r="M28" i="2"/>
  <c r="N28" i="2" s="1"/>
  <c r="O28" i="2" s="1"/>
  <c r="T56" i="2"/>
  <c r="F15" i="3" s="1"/>
  <c r="J117" i="2"/>
  <c r="J115" i="2"/>
  <c r="K37" i="2"/>
  <c r="K39" i="2" s="1"/>
  <c r="K41" i="2" s="1"/>
  <c r="K45" i="2" s="1"/>
  <c r="M20" i="2"/>
  <c r="L24" i="2"/>
  <c r="R63" i="2"/>
  <c r="S60" i="2"/>
  <c r="P28" i="2" l="1"/>
  <c r="O31" i="2"/>
  <c r="L37" i="2"/>
  <c r="L39" i="2" s="1"/>
  <c r="L41" i="2" s="1"/>
  <c r="L45" i="2" s="1"/>
  <c r="L115" i="2" s="1"/>
  <c r="K117" i="2"/>
  <c r="K115" i="2"/>
  <c r="S63" i="2"/>
  <c r="T60" i="2"/>
  <c r="T63" i="2" s="1"/>
  <c r="Q161" i="2"/>
  <c r="Q159" i="2"/>
  <c r="R66" i="2"/>
  <c r="R69" i="2"/>
  <c r="R71" i="2" s="1"/>
  <c r="R73" i="2" s="1"/>
  <c r="R77" i="2" s="1"/>
  <c r="M31" i="2"/>
  <c r="M34" i="2" s="1"/>
  <c r="M24" i="2"/>
  <c r="N20" i="2"/>
  <c r="M37" i="2" l="1"/>
  <c r="M39" i="2" s="1"/>
  <c r="M41" i="2" s="1"/>
  <c r="M45" i="2" s="1"/>
  <c r="M117" i="2" s="1"/>
  <c r="L117" i="2"/>
  <c r="R159" i="2"/>
  <c r="R161" i="2"/>
  <c r="T66" i="2"/>
  <c r="F16" i="3" s="1"/>
  <c r="T69" i="2"/>
  <c r="N24" i="2"/>
  <c r="O20" i="2"/>
  <c r="S66" i="2"/>
  <c r="E16" i="3" s="1"/>
  <c r="S69" i="2"/>
  <c r="S71" i="2" s="1"/>
  <c r="S73" i="2" s="1"/>
  <c r="S77" i="2" s="1"/>
  <c r="N31" i="2"/>
  <c r="N34" i="2" s="1"/>
  <c r="U69" i="2" l="1"/>
  <c r="T71" i="2"/>
  <c r="M115" i="2"/>
  <c r="T73" i="2"/>
  <c r="T77" i="2" s="1"/>
  <c r="T161" i="2" s="1"/>
  <c r="F50" i="3" s="1"/>
  <c r="O34" i="2"/>
  <c r="D11" i="3" s="1"/>
  <c r="N37" i="2"/>
  <c r="N39" i="2" s="1"/>
  <c r="N41" i="2" s="1"/>
  <c r="N45" i="2" s="1"/>
  <c r="O24" i="2"/>
  <c r="D10" i="3" s="1"/>
  <c r="P20" i="2"/>
  <c r="E17" i="3"/>
  <c r="S161" i="2"/>
  <c r="E50" i="3" s="1"/>
  <c r="S159" i="2"/>
  <c r="E49" i="3" s="1"/>
  <c r="D6" i="4" l="1"/>
  <c r="O37" i="2"/>
  <c r="O39" i="2" s="1"/>
  <c r="O41" i="2" s="1"/>
  <c r="O45" i="2" s="1"/>
  <c r="O117" i="2" s="1"/>
  <c r="D28" i="3" s="1"/>
  <c r="D10" i="4" s="1"/>
  <c r="T159" i="2"/>
  <c r="F49" i="3" s="1"/>
  <c r="F17" i="3"/>
  <c r="P24" i="2"/>
  <c r="Q20" i="2"/>
  <c r="P31" i="2"/>
  <c r="P34" i="2" s="1"/>
  <c r="Q28" i="2"/>
  <c r="N117" i="2"/>
  <c r="N115" i="2"/>
  <c r="O115" i="2" l="1"/>
  <c r="D27" i="3" s="1"/>
  <c r="D9" i="4" s="1"/>
  <c r="D11" i="4" s="1"/>
  <c r="D12" i="3"/>
  <c r="D7" i="4" s="1"/>
  <c r="D8" i="4" s="1"/>
  <c r="D26" i="4" s="1"/>
  <c r="D18" i="4"/>
  <c r="D19" i="4" s="1"/>
  <c r="Q24" i="2"/>
  <c r="R20" i="2"/>
  <c r="Q31" i="2"/>
  <c r="Q34" i="2" s="1"/>
  <c r="R28" i="2"/>
  <c r="P37" i="2"/>
  <c r="P39" i="2" s="1"/>
  <c r="P41" i="2" s="1"/>
  <c r="P45" i="2" s="1"/>
  <c r="D27" i="4" l="1"/>
  <c r="D29" i="4" s="1"/>
  <c r="D31" i="4" s="1"/>
  <c r="Q37" i="2"/>
  <c r="Q39" i="2" s="1"/>
  <c r="Q41" i="2" s="1"/>
  <c r="Q45" i="2" s="1"/>
  <c r="P115" i="2"/>
  <c r="P117" i="2"/>
  <c r="R31" i="2"/>
  <c r="R34" i="2" s="1"/>
  <c r="S28" i="2"/>
  <c r="R24" i="2"/>
  <c r="S20" i="2"/>
  <c r="E10" i="7" l="1"/>
  <c r="E12" i="7" s="1"/>
  <c r="S31" i="2"/>
  <c r="T28" i="2"/>
  <c r="T31" i="2" s="1"/>
  <c r="Q117" i="2"/>
  <c r="Q115" i="2"/>
  <c r="R37" i="2"/>
  <c r="R39" i="2" s="1"/>
  <c r="R41" i="2" s="1"/>
  <c r="R45" i="2" s="1"/>
  <c r="S24" i="2"/>
  <c r="E10" i="3" s="1"/>
  <c r="T20" i="2"/>
  <c r="D22" i="6"/>
  <c r="E21" i="6" s="1"/>
  <c r="D7" i="5"/>
  <c r="D9" i="5" s="1"/>
  <c r="D14" i="5" s="1"/>
  <c r="S34" i="2" l="1"/>
  <c r="E11" i="3" s="1"/>
  <c r="E6" i="4" s="1"/>
  <c r="S37" i="2"/>
  <c r="T34" i="2"/>
  <c r="F11" i="3" s="1"/>
  <c r="T37" i="2"/>
  <c r="U37" i="2" s="1"/>
  <c r="S39" i="2"/>
  <c r="S41" i="2" s="1"/>
  <c r="S45" i="2" s="1"/>
  <c r="S115" i="2" s="1"/>
  <c r="E27" i="3" s="1"/>
  <c r="B3" i="8"/>
  <c r="R117" i="2"/>
  <c r="R115" i="2"/>
  <c r="T24" i="2"/>
  <c r="F10" i="3" s="1"/>
  <c r="B5" i="8"/>
  <c r="E15" i="7"/>
  <c r="D12" i="5" l="1"/>
  <c r="D19" i="7" s="1"/>
  <c r="D16" i="5"/>
  <c r="F6" i="4"/>
  <c r="T39" i="2"/>
  <c r="T41" i="2" s="1"/>
  <c r="T45" i="2" s="1"/>
  <c r="T115" i="2" s="1"/>
  <c r="F27" i="3" s="1"/>
  <c r="S117" i="2"/>
  <c r="E28" i="3" s="1"/>
  <c r="E10" i="4" s="1"/>
  <c r="E12" i="3"/>
  <c r="E7" i="4" s="1"/>
  <c r="E9" i="4"/>
  <c r="B8" i="8"/>
  <c r="D15" i="5" l="1"/>
  <c r="D17" i="5" s="1"/>
  <c r="D16" i="6" s="1"/>
  <c r="D12" i="6" s="1"/>
  <c r="D7" i="6" s="1"/>
  <c r="D19" i="6"/>
  <c r="E8" i="4"/>
  <c r="F12" i="3"/>
  <c r="F7" i="4" s="1"/>
  <c r="F8" i="4" s="1"/>
  <c r="T117" i="2"/>
  <c r="F28" i="3" s="1"/>
  <c r="F10" i="4" s="1"/>
  <c r="E18" i="4"/>
  <c r="E19" i="4" s="1"/>
  <c r="E11" i="4"/>
  <c r="F9" i="4"/>
  <c r="B10" i="8"/>
  <c r="E19" i="6"/>
  <c r="D18" i="6"/>
  <c r="D17" i="6" s="1"/>
  <c r="F11" i="4" l="1"/>
  <c r="F26" i="4"/>
  <c r="E26" i="4"/>
  <c r="E27" i="4" s="1"/>
  <c r="E29" i="4" s="1"/>
  <c r="E30" i="4" s="1"/>
  <c r="F11" i="7" s="1"/>
  <c r="C4" i="8" s="1"/>
  <c r="F18" i="4"/>
  <c r="F19" i="4" s="1"/>
  <c r="D28" i="6"/>
  <c r="F19" i="6"/>
  <c r="F27" i="4" l="1"/>
  <c r="F29" i="4" s="1"/>
  <c r="G10" i="7" s="1"/>
  <c r="D25" i="7" s="1"/>
  <c r="F10" i="7"/>
  <c r="C3" i="8" s="1"/>
  <c r="E31" i="4"/>
  <c r="E22" i="6" s="1"/>
  <c r="F21" i="6" s="1"/>
  <c r="D3" i="8" l="1"/>
  <c r="F30" i="4"/>
  <c r="G11" i="7" s="1"/>
  <c r="D4" i="8" s="1"/>
  <c r="F12" i="7"/>
  <c r="F15" i="7" s="1"/>
  <c r="F31" i="4"/>
  <c r="E18" i="6"/>
  <c r="E17" i="6" s="1"/>
  <c r="E7" i="5"/>
  <c r="E9" i="5" s="1"/>
  <c r="E14" i="5" s="1"/>
  <c r="G12" i="7" l="1"/>
  <c r="G15" i="7" s="1"/>
  <c r="D26" i="7" s="1"/>
  <c r="D27" i="7" s="1"/>
  <c r="C8" i="8"/>
  <c r="C5" i="8"/>
  <c r="F22" i="6"/>
  <c r="F18" i="6" s="1"/>
  <c r="F17" i="6" s="1"/>
  <c r="F7" i="5"/>
  <c r="F9" i="5" s="1"/>
  <c r="F14" i="5" s="1"/>
  <c r="F15" i="5" s="1"/>
  <c r="E15" i="5"/>
  <c r="E17" i="5" s="1"/>
  <c r="E16" i="5"/>
  <c r="D8" i="8"/>
  <c r="D5" i="8" l="1"/>
  <c r="B12" i="8"/>
  <c r="B14" i="8" s="1"/>
  <c r="F16" i="5"/>
  <c r="F17" i="5"/>
  <c r="F16" i="6" s="1"/>
  <c r="F12" i="6" s="1"/>
  <c r="F7" i="6" s="1"/>
  <c r="F28" i="6" s="1"/>
  <c r="H15" i="7"/>
  <c r="D29" i="7" s="1"/>
  <c r="E16" i="6"/>
  <c r="E12" i="6" s="1"/>
  <c r="E7" i="6" s="1"/>
  <c r="E28" i="6" s="1"/>
  <c r="B16" i="8" l="1"/>
  <c r="D30" i="7" l="1"/>
  <c r="B18" i="8"/>
</calcChain>
</file>

<file path=xl/sharedStrings.xml><?xml version="1.0" encoding="utf-8"?>
<sst xmlns="http://schemas.openxmlformats.org/spreadsheetml/2006/main" count="1143" uniqueCount="299">
  <si>
    <t>https://influencermarketinghub.com/influencer-marketing-benchmark-report/</t>
  </si>
  <si>
    <t>https://www.statista.com/topics/7986/loyalty-programs-in-the-us/#topicOverview</t>
  </si>
  <si>
    <t>https://www.bls.gov/cps/cpsaat39.htm</t>
  </si>
  <si>
    <t>http://www.salaryexplorer.com</t>
  </si>
  <si>
    <t>https://image.email.hays.com/lib/fe4515707564057c751477/m/6/f7f76436-3389-444b-b0e3-b83800f868c4.pdf</t>
  </si>
  <si>
    <t xml:space="preserve">https://www.loopnet.com </t>
  </si>
  <si>
    <t>https://www.olx.in/for-rent-shops-offices_c1731?filter=furnished_eq_yes</t>
  </si>
  <si>
    <t>https://medium.com/ad4ventures/basic-guide-to-startups-valuation-over-its-life-from-inception-to-exit-73b7cb23bc39</t>
  </si>
  <si>
    <t>https://increditools.com/influencers/</t>
  </si>
  <si>
    <t xml:space="preserve">https://www.grandviewresearch.com/industry-analysis/business-to-business-b2b-e-commerce-market </t>
  </si>
  <si>
    <t>https://dash.app/blog/ecommerce-statistics</t>
  </si>
  <si>
    <t>https://www.mckinsey.com/industries/travel-logistics-and-infrastructure/our-insights/e-commerce-is-entering-a-new-phase-in-southeast-asia-are-logistics-players-prepared</t>
  </si>
  <si>
    <t>https://leeds-faculty.colorado.edu/bhagat/Bhagat-JRF-2014.pdf</t>
  </si>
  <si>
    <t>https://home.kpmg/xx/en/home/insights/2019/11/customer-loyalty-survey.html</t>
  </si>
  <si>
    <t>Unit</t>
  </si>
  <si>
    <t>Comment</t>
  </si>
  <si>
    <t>%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</si>
  <si>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</si>
  <si>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</si>
  <si>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</si>
  <si>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</si>
  <si>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</si>
  <si>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</si>
  <si>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</si>
  <si>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</si>
  <si>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</si>
  <si>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</si>
  <si>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</si>
  <si>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</si>
  <si>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Q1</t>
  </si>
  <si>
    <t>Q2</t>
  </si>
  <si>
    <t>Q3</t>
  </si>
  <si>
    <t>Q4</t>
  </si>
  <si>
    <t>Year 3</t>
  </si>
  <si>
    <t>USD / bercode</t>
  </si>
  <si>
    <t>USD</t>
  </si>
  <si>
    <t xml:space="preserve">% </t>
  </si>
  <si>
    <t>USD/bercode</t>
  </si>
  <si>
    <t>For each platform 1000 USD/month (Fb, Instagram &amp; TikTok adds).</t>
  </si>
  <si>
    <t>CAPEX</t>
  </si>
  <si>
    <t>Bérjárulékok</t>
  </si>
  <si>
    <t>Year 1</t>
  </si>
  <si>
    <t>Year 2</t>
  </si>
  <si>
    <t>VC investment</t>
  </si>
  <si>
    <t>Check</t>
  </si>
  <si>
    <t>FCFF</t>
  </si>
  <si>
    <t>NOPAT</t>
  </si>
  <si>
    <t>ROI=(Current Value of Investment−Cost of Investment​​)/Cost of Investment</t>
  </si>
  <si>
    <t>Financial plan</t>
  </si>
  <si>
    <t>Sources</t>
  </si>
  <si>
    <t>Assumptions</t>
  </si>
  <si>
    <t>In case of wages and renting cots+overheads inflation rate 4,6% is calculated.</t>
  </si>
  <si>
    <t>In reality a user can have more than 1 bercode from different issuers, which increases the probability of using it more frequently (Input lines 38, 70 and 102).</t>
  </si>
  <si>
    <t>Statistics for influencer market:</t>
  </si>
  <si>
    <t>Statistics for loyalty programmes:</t>
  </si>
  <si>
    <t>Source for US salaries: HOUSEHOLD DATA ANNUAL AVERAGES, 39. Median weekly earnings of full-time wage and salary workers by detailed occupation and sex</t>
  </si>
  <si>
    <t>Average salaries in India</t>
  </si>
  <si>
    <t>Hungarian salaries: Hays salary guide 2020</t>
  </si>
  <si>
    <t>Office rent in US</t>
  </si>
  <si>
    <t>Office rent in India</t>
  </si>
  <si>
    <t>EBITDA in sectors</t>
  </si>
  <si>
    <t>Number/number of followers of influencers on YouTube, Instagram &amp; TikTok</t>
  </si>
  <si>
    <t>B2B E-commerce growth</t>
  </si>
  <si>
    <t>Average order value for US &amp; Europe</t>
  </si>
  <si>
    <t>Average order value for SE Asia</t>
  </si>
  <si>
    <t>Discount rate</t>
  </si>
  <si>
    <t>The truth about customer loyalty</t>
  </si>
  <si>
    <t>Structure</t>
  </si>
  <si>
    <t>Cell formats</t>
  </si>
  <si>
    <t>Editable cells</t>
  </si>
  <si>
    <t>Calculation cells</t>
  </si>
  <si>
    <t>Support cells</t>
  </si>
  <si>
    <t>Input</t>
  </si>
  <si>
    <t>General</t>
  </si>
  <si>
    <t>Starting date</t>
  </si>
  <si>
    <t>State tax in Delaware</t>
  </si>
  <si>
    <t>Federal tax rate in USA</t>
  </si>
  <si>
    <t>Wage contributions in USA - employer</t>
  </si>
  <si>
    <t>The model calculates Year 1 in monthly split, and Year 2 in quarterly split and Year 3 in annual split</t>
  </si>
  <si>
    <t>On gross wages...</t>
  </si>
  <si>
    <t>Europe continent revenue</t>
  </si>
  <si>
    <t>1. Bercode issuers</t>
  </si>
  <si>
    <t>1.1. Trade unions &amp; chambers &amp; NGO</t>
  </si>
  <si>
    <t>Monthly growth rate</t>
  </si>
  <si>
    <t>Number of partner trade unions, chambers</t>
  </si>
  <si>
    <t>Trade unions / chambers choosing chargable packages</t>
  </si>
  <si>
    <t>Average number of members / trade unions &amp; chambers &amp; NGO</t>
  </si>
  <si>
    <t>Average income from a paid bercode for BB Inc.</t>
  </si>
  <si>
    <t>Total revenue from bercode sales</t>
  </si>
  <si>
    <t xml:space="preserve">1.2. Influencers &amp; stars </t>
  </si>
  <si>
    <t>Number of influencers &amp; stars</t>
  </si>
  <si>
    <t>Average number of fans / influencer &amp; star</t>
  </si>
  <si>
    <t>"Free &amp; Paid bercode" users / total number of fans</t>
  </si>
  <si>
    <t xml:space="preserve">Number of "Free &amp; Paid bercode" users </t>
  </si>
  <si>
    <t xml:space="preserve">"Paid bercode" users / Number of "Free &amp; Paid bercode" users </t>
  </si>
  <si>
    <t>Average income from a paid bercodes for BB Inc.</t>
  </si>
  <si>
    <t>2. Merchants - Sales commission</t>
  </si>
  <si>
    <t>Number of bercode users</t>
  </si>
  <si>
    <t>Average number of bercodes / bercode user</t>
  </si>
  <si>
    <t>Number of bercodes in circulation</t>
  </si>
  <si>
    <t>% of bercodes in use by bercode users</t>
  </si>
  <si>
    <t>Number of bercodes in use</t>
  </si>
  <si>
    <t>Average basket/order value of bercode users´ purchases</t>
  </si>
  <si>
    <t>% of merchants paying acquisition commission</t>
  </si>
  <si>
    <t>Acquisition commission fee (min. 3%)</t>
  </si>
  <si>
    <t>Total acquisition commission</t>
  </si>
  <si>
    <t>America continent revenue</t>
  </si>
  <si>
    <t>Asia continent revenue</t>
  </si>
  <si>
    <t>Europe continent OPEX</t>
  </si>
  <si>
    <t>Acquisition commissions paid</t>
  </si>
  <si>
    <t>Acquisition commissions paid to bercode issuers / bercode usage</t>
  </si>
  <si>
    <t>Acquisition commissions paid to bercode issuers / merchant</t>
  </si>
  <si>
    <t>Office and admin costs</t>
  </si>
  <si>
    <t>Office renting fee + overheads</t>
  </si>
  <si>
    <t>Marketing and business development</t>
  </si>
  <si>
    <t>Sponsorship for celebrities to start up the market</t>
  </si>
  <si>
    <t>Online adds - Facebook, Instagram, TikTok</t>
  </si>
  <si>
    <t>USD/month</t>
  </si>
  <si>
    <t>Other operating costs</t>
  </si>
  <si>
    <t>Travel</t>
  </si>
  <si>
    <t>External services</t>
  </si>
  <si>
    <t>Platform development (new moduls, translations)</t>
  </si>
  <si>
    <t>Accounting/bookkeeping</t>
  </si>
  <si>
    <t>Legal advisory</t>
  </si>
  <si>
    <t>External staff for Europe continent</t>
  </si>
  <si>
    <t>Staff for Europe continent by external supplier</t>
  </si>
  <si>
    <t>Junior IT developer Europe continent</t>
  </si>
  <si>
    <t>Senior IT developer Europe continent</t>
  </si>
  <si>
    <t>Support Europe continent</t>
  </si>
  <si>
    <t>Management Europe continent</t>
  </si>
  <si>
    <t>Secretaryship Europe continent</t>
  </si>
  <si>
    <t>Online marketing manager Europe continent</t>
  </si>
  <si>
    <t>Gross wages</t>
  </si>
  <si>
    <t>Support for users/partners</t>
  </si>
  <si>
    <t>Junior IT developer</t>
  </si>
  <si>
    <t>Senior IT developer</t>
  </si>
  <si>
    <t>Management</t>
  </si>
  <si>
    <t>Secretaryship</t>
  </si>
  <si>
    <t>Online marketing manager</t>
  </si>
  <si>
    <t>America continent OPEX</t>
  </si>
  <si>
    <t>Personnel expenses</t>
  </si>
  <si>
    <t>Number of FTEs</t>
  </si>
  <si>
    <t>Support for users/partners for America continent</t>
  </si>
  <si>
    <t>Management for America continent</t>
  </si>
  <si>
    <t>Secretaryship for America continent</t>
  </si>
  <si>
    <t>Marketing manager for America continent</t>
  </si>
  <si>
    <t>Gross wages, using inflation rate 4,6%.</t>
  </si>
  <si>
    <t>Marketing manager</t>
  </si>
  <si>
    <t>Phone with internet</t>
  </si>
  <si>
    <t>Car leasing for management</t>
  </si>
  <si>
    <t>Asia continent OPEX</t>
  </si>
  <si>
    <t>Support for users/partners Asia continent</t>
  </si>
  <si>
    <t>Management Asia continent</t>
  </si>
  <si>
    <t>Secretaryship Asia continent</t>
  </si>
  <si>
    <t>Marketing manager Asia continent</t>
  </si>
  <si>
    <t>Contingency</t>
  </si>
  <si>
    <t>Hardware for employees</t>
  </si>
  <si>
    <t>Cost per employee</t>
  </si>
  <si>
    <t>Amortization</t>
  </si>
  <si>
    <t>bercode-issuers / month</t>
  </si>
  <si>
    <t>people / trade union &amp; chamber &amp; NGO</t>
  </si>
  <si>
    <t>influencers &amp; stars</t>
  </si>
  <si>
    <t>fans / influencer &amp; star</t>
  </si>
  <si>
    <t>bercode users</t>
  </si>
  <si>
    <t>number</t>
  </si>
  <si>
    <t>average bercode number</t>
  </si>
  <si>
    <t>pieces</t>
  </si>
  <si>
    <t>pieces/month</t>
  </si>
  <si>
    <t>FTE</t>
  </si>
  <si>
    <t>USD/year</t>
  </si>
  <si>
    <t>USD/FTE/month</t>
  </si>
  <si>
    <t>USD/FTE</t>
  </si>
  <si>
    <t>Max monthly earnings in Hungary based on Hays salary guide 2020: 2 100 usd for Product support specialist</t>
  </si>
  <si>
    <t>Max monthly earnings in Hungary based on Hays salary guide 2020: 4 000 usd for System Expert Engineer</t>
  </si>
  <si>
    <t>Max monthly earnings in Hungary based on Hays salary guide 2020: 6 000 usd for Project Manager, 5+ years experience</t>
  </si>
  <si>
    <t>Max monthly earnings in Hungary based on Hays salary guide 2020: 10 000 usd for Managing Director</t>
  </si>
  <si>
    <t>Max monthly earnings in Hungary based on Hays salary guide 2020: 2 100 usd for Executive Assistant (3+ years of experience)</t>
  </si>
  <si>
    <t>Max monthly earnings in Hungary based on Hays salary guide 2020: 3 000 usd for Online Marketing Manager</t>
  </si>
  <si>
    <t>Median weekly earnings based on https://www.bls.gov/cps/cpsaat39.htm: 781 usd for Office and administrative support</t>
  </si>
  <si>
    <t>Median weekly earnings based on https://www.bls.gov/cps/cpsaat39.htm: 2 402 usd for Chief executives</t>
  </si>
  <si>
    <t>Median weekly earnings based on https://www.bls.gov/cps/cpsaat39.htm: 991 usd for Executive secretaries and executive administrative assistants</t>
  </si>
  <si>
    <t>Median weekly earnings based on https://www.bls.gov/cps/cpsaat39.htm: 1 537 usd for Marketing managers</t>
  </si>
  <si>
    <t>Average yearly earnings based on http://www.salaryexplorer.com/salary-survey.php?loc=100&amp;loctype=1&amp;job=1&amp;jobtype=1: 261600 INR=3517 usd - Help Desk Support</t>
  </si>
  <si>
    <t>Average yearly earnings based on http://www.salaryexplorer.com/salary-survey.php?loc=100&amp;loctype=1&amp;job=309&amp;jobtype=3: 1310000 INR=17612 usd - Chief Executive Officer</t>
  </si>
  <si>
    <t>Average yearly earnings based on http://www.salaryexplorer.com/salary-survey.php?loc=100&amp;loctype=1&amp;job=26&amp;jobtype=3: 331000 INR=4450 usd - Office manager</t>
  </si>
  <si>
    <t>Average yearly earnings based on http://www.salaryexplorer.com/salary-survey.php?loc=100&amp;loctype=1&amp;job=11244&amp;jobtype=3: 567000 INR=7623 usd - Social Media Specialist</t>
  </si>
  <si>
    <t>Info sheet - line 20</t>
  </si>
  <si>
    <t>the base number represents already existing partners in Hungary</t>
  </si>
  <si>
    <t>based on own experience from Hungarian market</t>
  </si>
  <si>
    <t>bercode fee</t>
  </si>
  <si>
    <t>Info sheet - line 11</t>
  </si>
  <si>
    <t>Rapid growth can be maximised through the involvement of marketing agencies &amp; major sport clubs also. See also Info sheet - line 19. MediaKix reveals a 3.2 million – 37.8 million estimation for the total number of influencers on Instagram, YouTube, and TikTok.</t>
  </si>
  <si>
    <t>Info sheet - line 19. MediaKix reveals a 3.2 million – 37.8 million estimation for the total number of influencers on Instagram, YouTube, and TikTok.</t>
  </si>
  <si>
    <t>47% of Gen-Z would pay to upgrade their loyalty program membership. (Bond)</t>
  </si>
  <si>
    <t>37% of customers are willing to pay to upgrade to an enhanced tier of a loyalty program. (Bond)</t>
  </si>
  <si>
    <t>of the EU population is involved in Year 3.</t>
  </si>
  <si>
    <t>18% of consumers engage with every loyalty program of which they are a member. (Code Broker)</t>
  </si>
  <si>
    <t>Info sheet - line 21</t>
  </si>
  <si>
    <t>based on own experience, system in Hungary allows also partners not paying acquisition commission</t>
  </si>
  <si>
    <t>platform condition</t>
  </si>
  <si>
    <t>based on own experience</t>
  </si>
  <si>
    <t>own forecast</t>
  </si>
  <si>
    <t>of the US, Canada population is involved in Year 3.</t>
  </si>
  <si>
    <t>Info sheet - line 12. The average consumer belongs to 14.8 loyalty programs but is only active in 6.7 of them. (Bond)</t>
  </si>
  <si>
    <t>Info sheet line 20</t>
  </si>
  <si>
    <t>of India population is involved in Year 3.</t>
  </si>
  <si>
    <t>Info sheet - line 22</t>
  </si>
  <si>
    <t>Existing Budapest office renting cost &amp; overheads (based on contract). Using inflation rate 4,6%.</t>
  </si>
  <si>
    <t>PR videos fee for celebrities/influencers at Europe continent</t>
  </si>
  <si>
    <t>For each platform 500 USD/month (Fb, Instagram &amp; TikTok adds).</t>
  </si>
  <si>
    <t>cars fuel, flight tickets, accomodation for international expansion</t>
  </si>
  <si>
    <t>new moduls, other languages for platform</t>
  </si>
  <si>
    <t>accounting</t>
  </si>
  <si>
    <t>compliance with legislation</t>
  </si>
  <si>
    <t>already existing staff at hungarian company - responsible for  EU continent (support, secretary, management, marketing, senior+junior IT developer). Using inflation rate 4,6%.</t>
  </si>
  <si>
    <t>external service</t>
  </si>
  <si>
    <t>external service, because of several languages in Europe</t>
  </si>
  <si>
    <t>internal</t>
  </si>
  <si>
    <t>Gross salary</t>
  </si>
  <si>
    <t>Los Angeles, Pasadena and New York - https://www.loopnet.com, 1100SF, 3,65 USD/SF/month + reserved parking 200 usd. Using inflation rate 4,6%.</t>
  </si>
  <si>
    <t>75 usd flat-rate cost/employee</t>
  </si>
  <si>
    <t>1000 usd flat-rate cost/office</t>
  </si>
  <si>
    <t>PR videos fee for celebrities/influencers at America continent</t>
  </si>
  <si>
    <t>1000 usd flat rate /cars fuel, flight tickets, accomodation for US expansion/ office</t>
  </si>
  <si>
    <t>New Delhi, Kolkata, Mumbai - 750 usd/100sm office +reserved parking, using inflation rate 4,6%</t>
  </si>
  <si>
    <t>50 usd flat-rate cost/employee</t>
  </si>
  <si>
    <t>PR videos fee for celebrities/influencers at Asia continent</t>
  </si>
  <si>
    <t xml:space="preserve">On the sum of all OPEX items </t>
  </si>
  <si>
    <t>Computer + accessories, telephone</t>
  </si>
  <si>
    <t>Assuming investment on 1 Jan</t>
  </si>
  <si>
    <t>Calculation</t>
  </si>
  <si>
    <t>Revenues</t>
  </si>
  <si>
    <t>Trade unions &amp; chambers &amp; NGO</t>
  </si>
  <si>
    <t>Influencers &amp; stars</t>
  </si>
  <si>
    <t>Sales commission</t>
  </si>
  <si>
    <t>Wage contributions</t>
  </si>
  <si>
    <t>Cost of new equipment</t>
  </si>
  <si>
    <t>Net value</t>
  </si>
  <si>
    <t>Profit and Loss</t>
  </si>
  <si>
    <t>Revenue from Bercode issuers</t>
  </si>
  <si>
    <t>Acquisition commission</t>
  </si>
  <si>
    <t>Total revenues</t>
  </si>
  <si>
    <t>Salaries</t>
  </si>
  <si>
    <t>Material expenses</t>
  </si>
  <si>
    <t>Other expenses</t>
  </si>
  <si>
    <t>Operating profit</t>
  </si>
  <si>
    <t>Financial profit</t>
  </si>
  <si>
    <t>Profit before tax</t>
  </si>
  <si>
    <t>Tax</t>
  </si>
  <si>
    <t>Profit after tax</t>
  </si>
  <si>
    <t>No financial activities assumed</t>
  </si>
  <si>
    <t>Cash flow</t>
  </si>
  <si>
    <t>OPERATING CASH FLOW</t>
  </si>
  <si>
    <t>INVESTMENT CASH FLOW</t>
  </si>
  <si>
    <t>Venture Capital</t>
  </si>
  <si>
    <t>FINANCING CASH FLOW</t>
  </si>
  <si>
    <t>FREE CASH FLOW - WITHOUT VC</t>
  </si>
  <si>
    <t>FREE CASH FLOW - WITH VC</t>
  </si>
  <si>
    <t>Cummulated cash flow - without VC</t>
  </si>
  <si>
    <t>Cummulated cash flow - with VC</t>
  </si>
  <si>
    <t>Balance sheet (simplified)</t>
  </si>
  <si>
    <t>ASSETS</t>
  </si>
  <si>
    <t>Fixed assets</t>
  </si>
  <si>
    <t>Intangible assets</t>
  </si>
  <si>
    <t>Tangible assets</t>
  </si>
  <si>
    <t>Financial investments</t>
  </si>
  <si>
    <t>Current assets</t>
  </si>
  <si>
    <t>Inventories</t>
  </si>
  <si>
    <t>Receivables</t>
  </si>
  <si>
    <t>Securities</t>
  </si>
  <si>
    <t>Liquid assets</t>
  </si>
  <si>
    <t>LIABILITIES</t>
  </si>
  <si>
    <t>Equity</t>
  </si>
  <si>
    <t>Subscribed capital</t>
  </si>
  <si>
    <t>Capital reserve</t>
  </si>
  <si>
    <t>Accumulated profit reserve</t>
  </si>
  <si>
    <t>Profit or loss of the year</t>
  </si>
  <si>
    <t>Liabilities</t>
  </si>
  <si>
    <t>Subordinated liabilities</t>
  </si>
  <si>
    <t>Long-term liabilities</t>
  </si>
  <si>
    <t>Short-term liabilities</t>
  </si>
  <si>
    <t>Valuation</t>
  </si>
  <si>
    <t>Starting point</t>
  </si>
  <si>
    <t>Terminal value</t>
  </si>
  <si>
    <t>Tax payable</t>
  </si>
  <si>
    <t>Investments</t>
  </si>
  <si>
    <t>Parameters</t>
  </si>
  <si>
    <t>Venture capital</t>
  </si>
  <si>
    <t>Perpetual growth rate</t>
  </si>
  <si>
    <t>EV/EBITDA multiple</t>
  </si>
  <si>
    <t>Average</t>
  </si>
  <si>
    <t>Info sheet - line 23</t>
  </si>
  <si>
    <t>Info sheet - line 18</t>
  </si>
  <si>
    <t>Company value at the end of Year 3</t>
  </si>
  <si>
    <t>Investor's share</t>
  </si>
  <si>
    <t>Shares to investor</t>
  </si>
  <si>
    <t>ROI from FCFF</t>
  </si>
  <si>
    <t>Yield in USD</t>
  </si>
  <si>
    <t>ROI from company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</si>
</sst>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##\ ###\ ###\ ###\ ###\ ###\ ##0"/>
    <numFmt numFmtId="166" formatCode="###"/>
  </numFmts>
  <fonts count="27" x14ac:knownFonts="1">
    <font>
      <sz val="10"/>
      <color rgb="FF000000"/>
      <name val="Arial"/>
    </font>
    <font>
      <b/>
      <sz val="14"/>
      <color rgb="FF1155CC"/>
      <name val="Arial"/>
      <family val="2"/>
      <charset val="238"/>
    </font>
    <font>
      <b/>
      <sz val="12"/>
      <color rgb="FF1155CC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1155CC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CCCCCC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D9D9D9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999999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</font>
    <font>
      <b/>
      <sz val="14"/>
      <color rgb="FF1155CC"/>
      <name val="Arial"/>
      <family val="2"/>
    </font>
    <font>
      <b/>
      <sz val="12"/>
      <color rgb="FF1155CC"/>
      <name val="Arial"/>
      <family val="2"/>
    </font>
    <font>
      <b/>
      <sz val="10"/>
      <color rgb="FF1155CC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FFFFFF"/>
      <name val="Arial"/>
      <family val="2"/>
    </font>
    <font>
      <b/>
      <i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6FC"/>
        <bgColor rgb="FFD9E6FC"/>
      </patternFill>
    </fill>
    <fill>
      <patternFill patternType="solid">
        <fgColor rgb="FF1C4587"/>
        <bgColor rgb="FF1C458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9DAF8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4A86E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5" fillId="0" borderId="2" xfId="0" applyFont="1" applyBorder="1"/>
    <xf numFmtId="0" fontId="3" fillId="3" borderId="2" xfId="0" applyFont="1" applyFill="1" applyBorder="1"/>
    <xf numFmtId="0" fontId="3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right"/>
    </xf>
    <xf numFmtId="0" fontId="3" fillId="4" borderId="1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3" fillId="0" borderId="0" xfId="0" applyFont="1"/>
    <xf numFmtId="14" fontId="3" fillId="3" borderId="2" xfId="0" applyNumberFormat="1" applyFont="1" applyFill="1" applyBorder="1"/>
    <xf numFmtId="14" fontId="3" fillId="0" borderId="0" xfId="0" applyNumberFormat="1" applyFont="1"/>
    <xf numFmtId="9" fontId="3" fillId="3" borderId="2" xfId="0" applyNumberFormat="1" applyFont="1" applyFill="1" applyBorder="1"/>
    <xf numFmtId="9" fontId="3" fillId="0" borderId="0" xfId="0" applyNumberFormat="1" applyFont="1"/>
    <xf numFmtId="164" fontId="3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165" fontId="3" fillId="3" borderId="3" xfId="0" applyNumberFormat="1" applyFont="1" applyFill="1" applyBorder="1"/>
    <xf numFmtId="165" fontId="3" fillId="5" borderId="3" xfId="0" applyNumberFormat="1" applyFont="1" applyFill="1" applyBorder="1"/>
    <xf numFmtId="0" fontId="0" fillId="0" borderId="0" xfId="0" applyAlignment="1">
      <alignment horizontal="right"/>
    </xf>
    <xf numFmtId="165" fontId="3" fillId="3" borderId="2" xfId="0" applyNumberFormat="1" applyFont="1" applyFill="1" applyBorder="1"/>
    <xf numFmtId="165" fontId="3" fillId="0" borderId="2" xfId="0" applyNumberFormat="1" applyFont="1" applyBorder="1"/>
    <xf numFmtId="165" fontId="3" fillId="0" borderId="0" xfId="0" applyNumberFormat="1" applyFont="1"/>
    <xf numFmtId="166" fontId="3" fillId="5" borderId="2" xfId="0" applyNumberFormat="1" applyFont="1" applyFill="1" applyBorder="1"/>
    <xf numFmtId="166" fontId="3" fillId="4" borderId="2" xfId="0" applyNumberFormat="1" applyFont="1" applyFill="1" applyBorder="1"/>
    <xf numFmtId="165" fontId="3" fillId="5" borderId="2" xfId="0" applyNumberFormat="1" applyFont="1" applyFill="1" applyBorder="1"/>
    <xf numFmtId="165" fontId="3" fillId="4" borderId="2" xfId="0" applyNumberFormat="1" applyFont="1" applyFill="1" applyBorder="1"/>
    <xf numFmtId="0" fontId="8" fillId="4" borderId="1" xfId="0" applyFont="1" applyFill="1" applyBorder="1" applyAlignment="1">
      <alignment horizontal="center"/>
    </xf>
    <xf numFmtId="165" fontId="3" fillId="6" borderId="2" xfId="0" applyNumberFormat="1" applyFont="1" applyFill="1" applyBorder="1"/>
    <xf numFmtId="4" fontId="3" fillId="4" borderId="2" xfId="0" applyNumberFormat="1" applyFont="1" applyFill="1" applyBorder="1"/>
    <xf numFmtId="165" fontId="3" fillId="4" borderId="5" xfId="0" applyNumberFormat="1" applyFont="1" applyFill="1" applyBorder="1"/>
    <xf numFmtId="0" fontId="9" fillId="0" borderId="0" xfId="0" applyFont="1"/>
    <xf numFmtId="165" fontId="0" fillId="3" borderId="2" xfId="0" applyNumberFormat="1" applyFill="1" applyBorder="1" applyAlignment="1">
      <alignment horizontal="right"/>
    </xf>
    <xf numFmtId="165" fontId="0" fillId="3" borderId="3" xfId="0" applyNumberFormat="1" applyFill="1" applyBorder="1" applyAlignment="1">
      <alignment horizontal="right"/>
    </xf>
    <xf numFmtId="165" fontId="3" fillId="3" borderId="5" xfId="0" applyNumberFormat="1" applyFont="1" applyFill="1" applyBorder="1"/>
    <xf numFmtId="0" fontId="7" fillId="7" borderId="6" xfId="0" applyFont="1" applyFill="1" applyBorder="1" applyAlignment="1">
      <alignment horizontal="center"/>
    </xf>
    <xf numFmtId="165" fontId="3" fillId="4" borderId="1" xfId="0" applyNumberFormat="1" applyFont="1" applyFill="1" applyBorder="1"/>
    <xf numFmtId="165" fontId="0" fillId="0" borderId="0" xfId="0" applyNumberFormat="1"/>
    <xf numFmtId="165" fontId="10" fillId="0" borderId="0" xfId="0" applyNumberFormat="1" applyFont="1"/>
    <xf numFmtId="0" fontId="10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165" fontId="7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right"/>
    </xf>
    <xf numFmtId="0" fontId="8" fillId="3" borderId="1" xfId="0" applyFont="1" applyFill="1" applyBorder="1"/>
    <xf numFmtId="165" fontId="8" fillId="3" borderId="1" xfId="0" applyNumberFormat="1" applyFont="1" applyFill="1" applyBorder="1"/>
    <xf numFmtId="0" fontId="8" fillId="3" borderId="1" xfId="0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0" fontId="0" fillId="3" borderId="2" xfId="0" applyNumberForma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3" fillId="8" borderId="8" xfId="0" applyFont="1" applyFill="1" applyBorder="1" applyAlignment="1">
      <alignment horizontal="right"/>
    </xf>
    <xf numFmtId="3" fontId="3" fillId="8" borderId="9" xfId="0" applyNumberFormat="1" applyFont="1" applyFill="1" applyBorder="1" applyAlignment="1">
      <alignment horizontal="right"/>
    </xf>
    <xf numFmtId="0" fontId="3" fillId="8" borderId="11" xfId="0" applyFont="1" applyFill="1" applyBorder="1" applyAlignment="1">
      <alignment horizontal="right"/>
    </xf>
    <xf numFmtId="10" fontId="3" fillId="8" borderId="12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2" xfId="0" applyFont="1" applyBorder="1"/>
    <xf numFmtId="3" fontId="0" fillId="6" borderId="2" xfId="0" applyNumberFormat="1" applyFill="1" applyBorder="1"/>
    <xf numFmtId="10" fontId="0" fillId="6" borderId="2" xfId="0" applyNumberFormat="1" applyFill="1" applyBorder="1"/>
    <xf numFmtId="9" fontId="0" fillId="0" borderId="0" xfId="0" applyNumberFormat="1"/>
    <xf numFmtId="0" fontId="5" fillId="0" borderId="0" xfId="1" applyAlignment="1"/>
    <xf numFmtId="0" fontId="14" fillId="0" borderId="0" xfId="0" applyFont="1" applyAlignment="1">
      <alignment wrapText="1"/>
    </xf>
    <xf numFmtId="0" fontId="5" fillId="0" borderId="13" xfId="1" applyBorder="1" applyAlignment="1"/>
    <xf numFmtId="10" fontId="0" fillId="9" borderId="2" xfId="0" applyNumberFormat="1" applyFill="1" applyBorder="1" applyAlignment="1">
      <alignment horizontal="right"/>
    </xf>
    <xf numFmtId="164" fontId="3" fillId="3" borderId="2" xfId="0" applyNumberFormat="1" applyFont="1" applyFill="1" applyBorder="1"/>
    <xf numFmtId="10" fontId="3" fillId="3" borderId="2" xfId="0" applyNumberFormat="1" applyFont="1" applyFill="1" applyBorder="1"/>
    <xf numFmtId="0" fontId="14" fillId="0" borderId="0" xfId="0" applyFont="1" applyAlignment="1">
      <alignment horizontal="right"/>
    </xf>
    <xf numFmtId="0" fontId="14" fillId="0" borderId="0" xfId="0" applyFont="1"/>
    <xf numFmtId="3" fontId="0" fillId="0" borderId="0" xfId="0" applyNumberFormat="1"/>
    <xf numFmtId="10" fontId="10" fillId="6" borderId="2" xfId="0" applyNumberFormat="1" applyFont="1" applyFill="1" applyBorder="1"/>
    <xf numFmtId="12" fontId="3" fillId="3" borderId="2" xfId="0" applyNumberFormat="1" applyFont="1" applyFill="1" applyBorder="1"/>
    <xf numFmtId="165" fontId="3" fillId="10" borderId="2" xfId="0" applyNumberFormat="1" applyFont="1" applyFill="1" applyBorder="1"/>
    <xf numFmtId="9" fontId="3" fillId="5" borderId="14" xfId="2" applyFont="1" applyFill="1" applyBorder="1" applyAlignment="1"/>
    <xf numFmtId="165" fontId="16" fillId="3" borderId="2" xfId="0" applyNumberFormat="1" applyFont="1" applyFill="1" applyBorder="1"/>
    <xf numFmtId="0" fontId="5" fillId="0" borderId="2" xfId="1" applyBorder="1"/>
    <xf numFmtId="0" fontId="5" fillId="0" borderId="2" xfId="1" applyBorder="1" applyAlignment="1">
      <alignment wrapText="1"/>
    </xf>
    <xf numFmtId="0" fontId="5" fillId="0" borderId="5" xfId="1" applyBorder="1"/>
    <xf numFmtId="0" fontId="3" fillId="0" borderId="4" xfId="0" applyFont="1" applyBorder="1"/>
    <xf numFmtId="0" fontId="5" fillId="0" borderId="2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4" fillId="0" borderId="4" xfId="0" applyFont="1" applyBorder="1"/>
    <xf numFmtId="3" fontId="10" fillId="0" borderId="0" xfId="0" applyNumberFormat="1" applyFont="1"/>
    <xf numFmtId="0" fontId="18" fillId="0" borderId="1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8" fillId="0" borderId="1" xfId="0" applyFont="1" applyBorder="1"/>
    <xf numFmtId="0" fontId="19" fillId="0" borderId="1" xfId="0" applyFont="1" applyBorder="1"/>
    <xf numFmtId="0" fontId="17" fillId="0" borderId="1" xfId="0" applyFont="1" applyBorder="1"/>
    <xf numFmtId="0" fontId="22" fillId="0" borderId="1" xfId="0" applyFont="1" applyBorder="1"/>
    <xf numFmtId="0" fontId="17" fillId="5" borderId="1" xfId="0" applyFont="1" applyFill="1" applyBorder="1"/>
    <xf numFmtId="0" fontId="17" fillId="0" borderId="1" xfId="0" applyFont="1" applyBorder="1" applyAlignment="1">
      <alignment horizontal="right"/>
    </xf>
    <xf numFmtId="0" fontId="24" fillId="0" borderId="1" xfId="0" applyFont="1" applyBorder="1"/>
    <xf numFmtId="0" fontId="25" fillId="2" borderId="1" xfId="0" applyFont="1" applyFill="1" applyBorder="1"/>
    <xf numFmtId="0" fontId="25" fillId="7" borderId="6" xfId="0" applyFont="1" applyFill="1" applyBorder="1" applyAlignment="1">
      <alignment horizontal="center"/>
    </xf>
    <xf numFmtId="0" fontId="20" fillId="0" borderId="4" xfId="0" applyFont="1" applyBorder="1"/>
    <xf numFmtId="0" fontId="26" fillId="0" borderId="1" xfId="0" applyFont="1" applyBorder="1"/>
    <xf numFmtId="0" fontId="22" fillId="3" borderId="1" xfId="0" applyFont="1" applyFill="1" applyBorder="1"/>
    <xf numFmtId="0" fontId="17" fillId="8" borderId="7" xfId="0" applyFont="1" applyFill="1" applyBorder="1"/>
    <xf numFmtId="0" fontId="17" fillId="8" borderId="10" xfId="0" applyFont="1" applyFill="1" applyBorder="1"/>
    <xf numFmtId="0" fontId="17" fillId="0" borderId="2" xfId="0" applyFont="1" applyBorder="1"/>
    <xf numFmtId="0" fontId="22" fillId="0" borderId="2" xfId="0" applyFont="1" applyBorder="1"/>
    <xf numFmtId="0" fontId="22" fillId="0" borderId="1" xfId="0" applyFont="1" applyBorder="1" applyAlignment="1">
      <alignment wrapText="1"/>
    </xf>
    <xf numFmtId="0" fontId="0" fillId="0" borderId="0" xfId="0" applyFill="1" applyAlignment="1">
      <alignment wrapText="1"/>
    </xf>
    <xf numFmtId="0" fontId="18" fillId="0" borderId="1" xfId="0" applyFont="1" applyFill="1" applyBorder="1"/>
    <xf numFmtId="0" fontId="19" fillId="0" borderId="1" xfId="0" applyFont="1" applyFill="1" applyBorder="1"/>
    <xf numFmtId="0" fontId="18" fillId="0" borderId="4" xfId="0" applyFont="1" applyFill="1" applyBorder="1"/>
    <xf numFmtId="0" fontId="17" fillId="0" borderId="1" xfId="0" applyFont="1" applyFill="1" applyBorder="1"/>
    <xf numFmtId="0" fontId="4" fillId="0" borderId="0" xfId="0" applyFont="1" applyFill="1" applyAlignment="1">
      <alignment wrapText="1"/>
    </xf>
    <xf numFmtId="0" fontId="21" fillId="0" borderId="1" xfId="0" applyFont="1" applyFill="1" applyBorder="1"/>
    <xf numFmtId="0" fontId="22" fillId="0" borderId="1" xfId="0" applyFont="1" applyFill="1" applyBorder="1"/>
    <xf numFmtId="0" fontId="3" fillId="0" borderId="0" xfId="0" applyFont="1" applyFill="1" applyAlignment="1">
      <alignment wrapText="1"/>
    </xf>
    <xf numFmtId="0" fontId="23" fillId="0" borderId="1" xfId="0" applyFont="1" applyFill="1" applyBorder="1"/>
    <xf numFmtId="0" fontId="8" fillId="0" borderId="0" xfId="0" applyFont="1" applyFill="1" applyAlignment="1">
      <alignment wrapText="1"/>
    </xf>
    <xf numFmtId="0" fontId="24" fillId="0" borderId="1" xfId="0" applyFont="1" applyFill="1" applyBorder="1"/>
    <xf numFmtId="0" fontId="1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14" fillId="0" borderId="0" xfId="0" applyFont="1" applyFill="1" applyAlignment="1">
      <alignment horizontal="right"/>
    </xf>
    <xf numFmtId="165" fontId="3" fillId="0" borderId="1" xfId="0" applyNumberFormat="1" applyFont="1" applyFill="1" applyBorder="1"/>
    <xf numFmtId="0" fontId="12" fillId="0" borderId="0" xfId="0" applyFont="1" applyFill="1"/>
  </cellXfs>
  <cellStyles count="3">
    <cellStyle name="Hyperlink" xfId="1" builtinId="8"/>
    <cellStyle name="Normal" xfId="0" builtinId="0"/>
    <cellStyle name="Percent" xfId="2" builtinId="5"/>
  </cellStyles>
  <dxfs count="1">
    <dxf>
      <font>
        <color rgb="FFFFFFFF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creditools.com/influencers/" TargetMode="External"/><Relationship Id="rId13" Type="http://schemas.openxmlformats.org/officeDocument/2006/relationships/hyperlink" Target="https://leeds-faculty.colorado.edu/bhagat/Bhagat-JRF-2014.pdf" TargetMode="External"/><Relationship Id="rId3" Type="http://schemas.openxmlformats.org/officeDocument/2006/relationships/hyperlink" Target="https://www.bls.gov/cps/cpsaat39.htm" TargetMode="External"/><Relationship Id="rId7" Type="http://schemas.openxmlformats.org/officeDocument/2006/relationships/hyperlink" Target="https://www.olx.in/for-rent-shops-offices_c1731?filter=furnished_eq_yes" TargetMode="External"/><Relationship Id="rId12" Type="http://schemas.openxmlformats.org/officeDocument/2006/relationships/hyperlink" Target="https://medium.com/ad4ventures/basic-guide-to-startups-valuation-over-its-life-from-inception-to-exit-73b7cb23bc39" TargetMode="External"/><Relationship Id="rId2" Type="http://schemas.openxmlformats.org/officeDocument/2006/relationships/hyperlink" Target="https://www.statista.com/topics/7986/loyalty-programs-in-the-us/" TargetMode="External"/><Relationship Id="rId1" Type="http://schemas.openxmlformats.org/officeDocument/2006/relationships/hyperlink" Target="https://influencermarketinghub.com/influencer-marketing-benchmark-report/" TargetMode="External"/><Relationship Id="rId6" Type="http://schemas.openxmlformats.org/officeDocument/2006/relationships/hyperlink" Target="https://www.loopnet.com/" TargetMode="External"/><Relationship Id="rId11" Type="http://schemas.openxmlformats.org/officeDocument/2006/relationships/hyperlink" Target="https://www.mckinsey.com/industries/travel-logistics-and-infrastructure/our-insights/e-commerce-is-entering-a-new-phase-in-southeast-asia-are-logistics-players-prepared" TargetMode="External"/><Relationship Id="rId5" Type="http://schemas.openxmlformats.org/officeDocument/2006/relationships/hyperlink" Target="https://image.email.hays.com/lib/fe4515707564057c751477/m/6/f7f76436-3389-444b-b0e3-b83800f868c4.pdf" TargetMode="External"/><Relationship Id="rId10" Type="http://schemas.openxmlformats.org/officeDocument/2006/relationships/hyperlink" Target="https://dash.app/blog/ecommerce-statistics" TargetMode="External"/><Relationship Id="rId4" Type="http://schemas.openxmlformats.org/officeDocument/2006/relationships/hyperlink" Target="http://www.salaryexplorer.com/" TargetMode="External"/><Relationship Id="rId9" Type="http://schemas.openxmlformats.org/officeDocument/2006/relationships/hyperlink" Target="https://www.grandviewresearch.com/industry-analysis/business-to-business-b2b-e-commerce-market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outlinePr summaryBelow="0" summaryRight="0"/>
  </sheetPr>
  <dimension ref="B1:J1006"/>
  <sheetViews>
    <sheetView zoomScale="150" zoomScaleNormal="150" workbookViewId="0">
      <selection activeCell="B23" sqref="B23"/>
    </sheetView>
  </sheetViews>
  <sheetFormatPr baseColWidth="10" defaultColWidth="14.5" defaultRowHeight="15" customHeight="1" x14ac:dyDescent="0.15"/>
  <cols>
    <col min="1" max="1" width="3.6640625" customWidth="1"/>
    <col min="2" max="2" width="55.1640625" style="1" customWidth="1"/>
    <col min="3" max="3" width="132.1640625" customWidth="1"/>
  </cols>
  <sheetData>
    <row r="1" spans="2:10" ht="13" x14ac:dyDescent="0.15"/>
    <row r="2" spans="2:10" ht="20.25" customHeight="1" x14ac:dyDescent="0.2">
      <c r="B2" s="91" t="s">
        <v>48</v>
      </c>
    </row>
    <row r="3" spans="2:10" ht="17" x14ac:dyDescent="0.2">
      <c r="B3" s="2" t="s">
        <v>49</v>
      </c>
    </row>
    <row r="4" spans="2:10" ht="12.75" customHeight="1" x14ac:dyDescent="0.15"/>
    <row r="5" spans="2:10" ht="12.75" customHeight="1" x14ac:dyDescent="0.15">
      <c r="B5" s="3"/>
      <c r="C5" s="4"/>
      <c r="D5" s="4"/>
      <c r="E5" s="4"/>
      <c r="F5" s="4"/>
      <c r="G5" s="4"/>
      <c r="H5" s="4"/>
      <c r="I5" s="4"/>
      <c r="J5" s="4"/>
    </row>
    <row r="6" spans="2:10" ht="12.75" customHeight="1" x14ac:dyDescent="0.15"/>
    <row r="7" spans="2:10" ht="12.75" customHeight="1" x14ac:dyDescent="0.15">
      <c r="B7" s="92" t="s">
        <v>50</v>
      </c>
      <c r="C7" s="86"/>
      <c r="D7" s="86"/>
      <c r="E7" s="86"/>
      <c r="F7" s="86"/>
      <c r="G7" s="86"/>
      <c r="H7" s="86"/>
      <c r="I7" s="86"/>
      <c r="J7" s="86"/>
    </row>
    <row r="8" spans="2:10" ht="12.75" customHeight="1" x14ac:dyDescent="0.15"/>
    <row r="9" spans="2:10" ht="28" x14ac:dyDescent="0.15">
      <c r="B9" s="93" t="s">
        <v>51</v>
      </c>
    </row>
    <row r="10" spans="2:10" ht="42" x14ac:dyDescent="0.15">
      <c r="B10" s="94" t="s">
        <v>52</v>
      </c>
    </row>
    <row r="11" spans="2:10" ht="12.75" customHeight="1" x14ac:dyDescent="0.15">
      <c r="B11" s="93" t="s">
        <v>53</v>
      </c>
      <c r="C11" s="83" t="s">
        <v>0</v>
      </c>
    </row>
    <row r="12" spans="2:10" ht="12.75" customHeight="1" x14ac:dyDescent="0.15">
      <c r="B12" s="93" t="s">
        <v>54</v>
      </c>
      <c r="C12" s="83" t="s">
        <v>1</v>
      </c>
    </row>
    <row r="13" spans="2:10" ht="42" x14ac:dyDescent="0.15">
      <c r="B13" s="93" t="s">
        <v>55</v>
      </c>
      <c r="C13" s="87" t="s">
        <v>2</v>
      </c>
    </row>
    <row r="14" spans="2:10" ht="12.75" customHeight="1" x14ac:dyDescent="0.15">
      <c r="B14" s="93" t="s">
        <v>56</v>
      </c>
      <c r="C14" s="87" t="s">
        <v>3</v>
      </c>
    </row>
    <row r="15" spans="2:10" ht="12.75" customHeight="1" x14ac:dyDescent="0.15">
      <c r="B15" s="93" t="s">
        <v>57</v>
      </c>
      <c r="C15" s="84" t="s">
        <v>4</v>
      </c>
    </row>
    <row r="16" spans="2:10" ht="12.75" customHeight="1" x14ac:dyDescent="0.15">
      <c r="B16" s="93" t="s">
        <v>58</v>
      </c>
      <c r="C16" s="87" t="s">
        <v>5</v>
      </c>
    </row>
    <row r="17" spans="2:10" ht="12.75" customHeight="1" x14ac:dyDescent="0.15">
      <c r="B17" s="93" t="s">
        <v>59</v>
      </c>
      <c r="C17" s="87" t="s">
        <v>6</v>
      </c>
    </row>
    <row r="18" spans="2:10" ht="12.75" customHeight="1" x14ac:dyDescent="0.15">
      <c r="B18" s="93" t="s">
        <v>60</v>
      </c>
      <c r="C18" s="69" t="s">
        <v>7</v>
      </c>
    </row>
    <row r="19" spans="2:10" ht="28" x14ac:dyDescent="0.15">
      <c r="B19" s="93" t="s">
        <v>61</v>
      </c>
      <c r="C19" s="84" t="s">
        <v>8</v>
      </c>
    </row>
    <row r="20" spans="2:10" ht="12.75" customHeight="1" x14ac:dyDescent="0.15">
      <c r="B20" s="93" t="s">
        <v>62</v>
      </c>
      <c r="C20" s="5" t="s">
        <v>9</v>
      </c>
    </row>
    <row r="21" spans="2:10" ht="12.75" customHeight="1" x14ac:dyDescent="0.15">
      <c r="B21" s="93" t="s">
        <v>63</v>
      </c>
      <c r="C21" s="83" t="s">
        <v>10</v>
      </c>
    </row>
    <row r="22" spans="2:10" ht="12.75" customHeight="1" x14ac:dyDescent="0.15">
      <c r="B22" s="94" t="s">
        <v>64</v>
      </c>
      <c r="C22" s="85" t="s">
        <v>11</v>
      </c>
    </row>
    <row r="23" spans="2:10" ht="12.75" customHeight="1" x14ac:dyDescent="0.15">
      <c r="B23" s="93" t="s">
        <v>65</v>
      </c>
      <c r="C23" s="71" t="s">
        <v>12</v>
      </c>
    </row>
    <row r="24" spans="2:10" ht="12.75" customHeight="1" x14ac:dyDescent="0.15">
      <c r="B24" s="93" t="s">
        <v>66</v>
      </c>
      <c r="C24" s="71" t="s">
        <v>13</v>
      </c>
    </row>
    <row r="25" spans="2:10" ht="12.75" customHeight="1" x14ac:dyDescent="0.15">
      <c r="B25" s="70"/>
      <c r="C25" s="69"/>
    </row>
    <row r="26" spans="2:10" ht="12.75" customHeight="1" x14ac:dyDescent="0.15">
      <c r="B26" s="70"/>
      <c r="C26" s="69"/>
    </row>
    <row r="27" spans="2:10" ht="12.75" customHeight="1" x14ac:dyDescent="0.15">
      <c r="B27" s="92" t="s">
        <v>67</v>
      </c>
      <c r="C27" s="86"/>
      <c r="D27" s="86"/>
      <c r="E27" s="86"/>
      <c r="F27" s="86"/>
      <c r="G27" s="86"/>
      <c r="H27" s="86"/>
      <c r="I27" s="86"/>
      <c r="J27" s="86"/>
    </row>
    <row r="28" spans="2:10" ht="12.75" customHeight="1" x14ac:dyDescent="0.15"/>
    <row r="29" spans="2:10" ht="12.75" customHeight="1" x14ac:dyDescent="0.15"/>
    <row r="30" spans="2:10" ht="12.75" customHeight="1" x14ac:dyDescent="0.15"/>
    <row r="31" spans="2:10" ht="12.75" customHeight="1" x14ac:dyDescent="0.15"/>
    <row r="32" spans="2:10" ht="12.75" customHeight="1" x14ac:dyDescent="0.15">
      <c r="B32" s="92" t="s">
        <v>68</v>
      </c>
      <c r="C32" s="86"/>
      <c r="D32" s="86"/>
      <c r="E32" s="86"/>
      <c r="F32" s="86"/>
      <c r="G32" s="86"/>
      <c r="H32" s="86"/>
      <c r="I32" s="86"/>
      <c r="J32" s="86"/>
    </row>
    <row r="33" spans="2:3" ht="12.75" customHeight="1" x14ac:dyDescent="0.15">
      <c r="B33" s="95"/>
    </row>
    <row r="34" spans="2:3" ht="12.75" customHeight="1" x14ac:dyDescent="0.15">
      <c r="B34" s="95" t="s">
        <v>69</v>
      </c>
      <c r="C34" s="6">
        <v>123</v>
      </c>
    </row>
    <row r="35" spans="2:3" ht="12.75" customHeight="1" x14ac:dyDescent="0.15">
      <c r="B35" s="95"/>
    </row>
    <row r="36" spans="2:3" ht="12.75" customHeight="1" x14ac:dyDescent="0.15">
      <c r="B36" s="95" t="s">
        <v>70</v>
      </c>
      <c r="C36" s="7">
        <v>123</v>
      </c>
    </row>
    <row r="37" spans="2:3" ht="12.75" customHeight="1" x14ac:dyDescent="0.15">
      <c r="B37" s="95"/>
    </row>
    <row r="38" spans="2:3" ht="12.75" customHeight="1" x14ac:dyDescent="0.15">
      <c r="B38" s="95" t="s">
        <v>71</v>
      </c>
      <c r="C38" s="8">
        <v>123</v>
      </c>
    </row>
    <row r="39" spans="2:3" ht="12.75" customHeight="1" x14ac:dyDescent="0.15"/>
    <row r="40" spans="2:3" ht="12.75" customHeight="1" x14ac:dyDescent="0.15"/>
    <row r="41" spans="2:3" ht="12.75" customHeight="1" x14ac:dyDescent="0.15"/>
    <row r="42" spans="2:3" ht="12.75" customHeight="1" x14ac:dyDescent="0.15"/>
    <row r="43" spans="2:3" ht="12.75" customHeight="1" x14ac:dyDescent="0.15"/>
    <row r="44" spans="2:3" ht="12.75" customHeight="1" x14ac:dyDescent="0.15"/>
    <row r="45" spans="2:3" ht="12.75" customHeight="1" x14ac:dyDescent="0.15"/>
    <row r="46" spans="2:3" ht="12.75" customHeight="1" x14ac:dyDescent="0.15"/>
    <row r="47" spans="2:3" ht="12.75" customHeight="1" x14ac:dyDescent="0.15"/>
    <row r="48" spans="2:3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  <row r="1001" ht="12.75" customHeight="1" x14ac:dyDescent="0.15"/>
    <row r="1002" ht="12.75" customHeight="1" x14ac:dyDescent="0.15"/>
    <row r="1003" ht="12.75" customHeight="1" x14ac:dyDescent="0.15"/>
    <row r="1004" ht="12.75" customHeight="1" x14ac:dyDescent="0.15"/>
    <row r="1005" ht="12.75" customHeight="1" x14ac:dyDescent="0.15"/>
    <row r="1006" ht="12.75" customHeight="1" x14ac:dyDescent="0.15"/>
  </sheetData>
  <sheetProtection selectLockedCells="1" selectUnlockedCells="1"/>
  <hyperlinks>
    <hyperlink ref="C11" r:id="rId1" xr:uid="{00000000-0004-0000-0000-000000000000}"/>
    <hyperlink ref="C12" r:id="rId2" location="topicOverview" xr:uid="{00000000-0004-0000-0000-000001000000}"/>
    <hyperlink ref="C13" r:id="rId3" xr:uid="{00000000-0004-0000-0000-000002000000}"/>
    <hyperlink ref="C14" r:id="rId4" xr:uid="{00000000-0004-0000-0000-000003000000}"/>
    <hyperlink ref="C15" r:id="rId5" xr:uid="{00000000-0004-0000-0000-000004000000}"/>
    <hyperlink ref="C16" r:id="rId6" xr:uid="{00000000-0004-0000-0000-000005000000}"/>
    <hyperlink ref="C17" r:id="rId7" xr:uid="{00000000-0004-0000-0000-000006000000}"/>
    <hyperlink ref="C19" r:id="rId8" xr:uid="{00000000-0004-0000-0000-000008000000}"/>
    <hyperlink ref="C20" r:id="rId9" xr:uid="{00000000-0004-0000-0000-000009000000}"/>
    <hyperlink ref="C21" r:id="rId10" xr:uid="{00000000-0004-0000-0000-00000A000000}"/>
    <hyperlink ref="C22" r:id="rId11" xr:uid="{00000000-0004-0000-0000-00000B000000}"/>
    <hyperlink ref="C18" r:id="rId12" xr:uid="{68B385EE-CE90-49FC-96C6-4FCBEE77FCC8}"/>
    <hyperlink ref="C23" r:id="rId13" xr:uid="{F30D7A88-1E9D-4AB8-981E-5DB67C97CA47}"/>
  </hyperlinks>
  <pageMargins left="0.7" right="0.7" top="0.75" bottom="0.75" header="0" footer="0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outlinePr summaryBelow="0" summaryRight="0"/>
  </sheetPr>
  <dimension ref="A1:AO1110"/>
  <sheetViews>
    <sheetView zoomScale="130" zoomScaleNormal="130" workbookViewId="0">
      <selection activeCell="B11" sqref="B11"/>
    </sheetView>
  </sheetViews>
  <sheetFormatPr baseColWidth="10" defaultColWidth="14.5" defaultRowHeight="15" customHeight="1" outlineLevelRow="2" x14ac:dyDescent="0.15"/>
  <cols>
    <col min="1" max="1" width="3.6640625" customWidth="1"/>
    <col min="2" max="2" width="57.6640625" style="113" customWidth="1"/>
    <col min="3" max="3" width="32.33203125" bestFit="1" customWidth="1"/>
    <col min="4" max="4" width="15.5" customWidth="1"/>
    <col min="20" max="20" width="16.5" customWidth="1"/>
  </cols>
  <sheetData>
    <row r="1" spans="1:41" ht="15.75" customHeight="1" x14ac:dyDescent="0.15">
      <c r="C1" s="9"/>
    </row>
    <row r="2" spans="1:41" ht="15.75" customHeight="1" x14ac:dyDescent="0.2">
      <c r="B2" s="114" t="s">
        <v>48</v>
      </c>
      <c r="C2" s="9"/>
    </row>
    <row r="3" spans="1:41" ht="15.75" customHeight="1" x14ac:dyDescent="0.2">
      <c r="B3" s="115" t="s">
        <v>72</v>
      </c>
      <c r="C3" s="9"/>
    </row>
    <row r="4" spans="1:41" ht="15.75" customHeight="1" x14ac:dyDescent="0.15">
      <c r="C4" s="9"/>
      <c r="U4" s="10"/>
    </row>
    <row r="5" spans="1:41" ht="15.75" customHeight="1" x14ac:dyDescent="0.15">
      <c r="B5" s="4"/>
      <c r="C5" s="11" t="s">
        <v>14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2" t="s">
        <v>15</v>
      </c>
      <c r="V5" s="4"/>
      <c r="W5" s="4"/>
      <c r="X5" s="4"/>
      <c r="Y5" s="4"/>
      <c r="Z5" s="4"/>
    </row>
    <row r="6" spans="1:41" ht="15.75" customHeight="1" x14ac:dyDescent="0.15">
      <c r="C6" s="9"/>
    </row>
    <row r="7" spans="1:41" ht="15.75" customHeight="1" x14ac:dyDescent="0.2">
      <c r="B7" s="116" t="s">
        <v>73</v>
      </c>
      <c r="C7" s="88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</row>
    <row r="8" spans="1:41" ht="15.75" customHeight="1" outlineLevel="1" x14ac:dyDescent="0.15">
      <c r="B8" s="117"/>
      <c r="C8" s="9"/>
    </row>
    <row r="9" spans="1:41" ht="15.75" customHeight="1" outlineLevel="1" x14ac:dyDescent="0.15">
      <c r="B9" s="117" t="s">
        <v>74</v>
      </c>
      <c r="C9" s="9"/>
      <c r="D9" s="14">
        <v>44927</v>
      </c>
      <c r="E9" s="15"/>
      <c r="F9" s="98" t="s">
        <v>78</v>
      </c>
      <c r="H9" s="15"/>
      <c r="I9" s="15"/>
      <c r="J9" s="15"/>
      <c r="K9" s="15"/>
      <c r="L9" s="15"/>
      <c r="M9" s="15"/>
      <c r="N9" s="15"/>
      <c r="O9" s="15"/>
    </row>
    <row r="10" spans="1:41" ht="15.75" customHeight="1" outlineLevel="1" x14ac:dyDescent="0.15">
      <c r="B10" s="117"/>
      <c r="C10" s="9"/>
    </row>
    <row r="11" spans="1:41" ht="15.75" customHeight="1" outlineLevel="1" x14ac:dyDescent="0.15">
      <c r="B11" s="117" t="s">
        <v>75</v>
      </c>
      <c r="C11" s="9" t="s">
        <v>16</v>
      </c>
      <c r="D11" s="16">
        <v>0</v>
      </c>
      <c r="E11" s="17"/>
      <c r="H11" s="17"/>
      <c r="I11" s="17"/>
      <c r="J11" s="17"/>
      <c r="K11" s="17"/>
      <c r="L11" s="17"/>
      <c r="M11" s="17"/>
      <c r="N11" s="17"/>
      <c r="O11" s="17"/>
    </row>
    <row r="12" spans="1:41" ht="15.75" customHeight="1" outlineLevel="1" x14ac:dyDescent="0.15">
      <c r="B12" s="117" t="s">
        <v>76</v>
      </c>
      <c r="C12" s="9" t="s">
        <v>16</v>
      </c>
      <c r="D12" s="16">
        <v>0.35</v>
      </c>
      <c r="E12" s="17"/>
      <c r="F12" s="13"/>
      <c r="H12" s="17"/>
      <c r="I12" s="17"/>
      <c r="J12" s="17"/>
      <c r="K12" s="17"/>
      <c r="L12" s="17"/>
      <c r="M12" s="17"/>
      <c r="N12" s="17"/>
      <c r="O12" s="17"/>
    </row>
    <row r="13" spans="1:41" ht="15.75" customHeight="1" outlineLevel="1" x14ac:dyDescent="0.15">
      <c r="B13" s="117" t="s">
        <v>77</v>
      </c>
      <c r="C13" s="9" t="s">
        <v>16</v>
      </c>
      <c r="D13" s="16">
        <v>0.1</v>
      </c>
      <c r="E13" s="18"/>
      <c r="F13" s="98" t="s">
        <v>79</v>
      </c>
      <c r="H13" s="18"/>
      <c r="I13" s="18"/>
      <c r="J13" s="18"/>
      <c r="K13" s="18"/>
      <c r="L13" s="18"/>
      <c r="M13" s="18"/>
      <c r="N13" s="18"/>
      <c r="O13" s="18"/>
    </row>
    <row r="14" spans="1:41" ht="15.75" customHeight="1" x14ac:dyDescent="0.15">
      <c r="A14" s="13"/>
      <c r="B14" s="118"/>
      <c r="C14" s="9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ht="15.75" customHeight="1" x14ac:dyDescent="0.2">
      <c r="A15" s="13"/>
      <c r="B15" s="116" t="s">
        <v>80</v>
      </c>
      <c r="C15" s="12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ht="15.75" customHeight="1" outlineLevel="1" x14ac:dyDescent="0.15">
      <c r="C16" s="127"/>
    </row>
    <row r="17" spans="2:21" ht="15.75" customHeight="1" outlineLevel="1" x14ac:dyDescent="0.2">
      <c r="B17" s="119" t="s">
        <v>81</v>
      </c>
      <c r="C17" s="127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2:21" ht="15.75" customHeight="1" outlineLevel="1" x14ac:dyDescent="0.15">
      <c r="B18" s="120" t="s">
        <v>82</v>
      </c>
      <c r="C18" s="127"/>
      <c r="D18" s="20" t="s">
        <v>17</v>
      </c>
      <c r="E18" s="20" t="s">
        <v>18</v>
      </c>
      <c r="F18" s="20" t="s">
        <v>19</v>
      </c>
      <c r="G18" s="20" t="s">
        <v>20</v>
      </c>
      <c r="H18" s="20" t="s">
        <v>21</v>
      </c>
      <c r="I18" s="20" t="s">
        <v>22</v>
      </c>
      <c r="J18" s="20" t="s">
        <v>23</v>
      </c>
      <c r="K18" s="20" t="s">
        <v>24</v>
      </c>
      <c r="L18" s="20" t="s">
        <v>25</v>
      </c>
      <c r="M18" s="20" t="s">
        <v>26</v>
      </c>
      <c r="N18" s="20" t="s">
        <v>27</v>
      </c>
      <c r="O18" s="20" t="s">
        <v>28</v>
      </c>
      <c r="P18" s="20" t="s">
        <v>29</v>
      </c>
      <c r="Q18" s="20" t="s">
        <v>30</v>
      </c>
      <c r="R18" s="20" t="s">
        <v>31</v>
      </c>
      <c r="S18" s="20" t="s">
        <v>32</v>
      </c>
      <c r="T18" s="20" t="s">
        <v>33</v>
      </c>
    </row>
    <row r="19" spans="2:21" ht="15.75" customHeight="1" outlineLevel="1" x14ac:dyDescent="0.15">
      <c r="B19" s="117" t="s">
        <v>83</v>
      </c>
      <c r="C19" s="127" t="s">
        <v>16</v>
      </c>
      <c r="D19" s="16">
        <v>0</v>
      </c>
      <c r="E19" s="74">
        <v>0.01</v>
      </c>
      <c r="F19" s="74">
        <v>0.01</v>
      </c>
      <c r="G19" s="74">
        <v>0.01</v>
      </c>
      <c r="H19" s="74">
        <v>1.4999999999999999E-2</v>
      </c>
      <c r="I19" s="74">
        <v>1.4999999999999999E-2</v>
      </c>
      <c r="J19" s="74">
        <v>0.02</v>
      </c>
      <c r="K19" s="74">
        <v>0.02</v>
      </c>
      <c r="L19" s="74">
        <v>0.02</v>
      </c>
      <c r="M19" s="74">
        <v>0.02</v>
      </c>
      <c r="N19" s="74">
        <v>0.02</v>
      </c>
      <c r="O19" s="74">
        <v>0.02</v>
      </c>
      <c r="P19" s="74">
        <v>0.02</v>
      </c>
      <c r="Q19" s="74">
        <v>0.02</v>
      </c>
      <c r="R19" s="74">
        <v>0.02</v>
      </c>
      <c r="S19" s="74">
        <v>0.02</v>
      </c>
      <c r="T19" s="74">
        <v>0.02</v>
      </c>
      <c r="U19" s="100" t="s">
        <v>186</v>
      </c>
    </row>
    <row r="20" spans="2:21" ht="15.75" customHeight="1" outlineLevel="2" x14ac:dyDescent="0.15">
      <c r="B20" s="117" t="s">
        <v>84</v>
      </c>
      <c r="C20" s="128" t="s">
        <v>159</v>
      </c>
      <c r="D20" s="21">
        <v>200</v>
      </c>
      <c r="E20" s="22">
        <f t="shared" ref="E20:O20" si="0">D20*(1+E19)</f>
        <v>202</v>
      </c>
      <c r="F20" s="22">
        <f t="shared" si="0"/>
        <v>204.02</v>
      </c>
      <c r="G20" s="22">
        <f t="shared" si="0"/>
        <v>206.06020000000001</v>
      </c>
      <c r="H20" s="22">
        <f t="shared" si="0"/>
        <v>209.15110299999998</v>
      </c>
      <c r="I20" s="22">
        <f t="shared" si="0"/>
        <v>212.28836954499997</v>
      </c>
      <c r="J20" s="22">
        <f t="shared" si="0"/>
        <v>216.53413693589997</v>
      </c>
      <c r="K20" s="22">
        <f t="shared" si="0"/>
        <v>220.86481967461796</v>
      </c>
      <c r="L20" s="22">
        <f t="shared" si="0"/>
        <v>225.28211606811033</v>
      </c>
      <c r="M20" s="22">
        <f t="shared" si="0"/>
        <v>229.78775838947254</v>
      </c>
      <c r="N20" s="22">
        <f t="shared" si="0"/>
        <v>234.38351355726201</v>
      </c>
      <c r="O20" s="22">
        <f t="shared" si="0"/>
        <v>239.07118382840724</v>
      </c>
      <c r="P20" s="22">
        <f t="shared" ref="P20:S20" si="1">O20*(1+P19)^3</f>
        <v>253.70425284817637</v>
      </c>
      <c r="Q20" s="22">
        <f t="shared" si="1"/>
        <v>269.23298275650751</v>
      </c>
      <c r="R20" s="22">
        <f t="shared" si="1"/>
        <v>285.71219516506778</v>
      </c>
      <c r="S20" s="22">
        <f t="shared" si="1"/>
        <v>303.20006720673121</v>
      </c>
      <c r="T20" s="22">
        <f>S20*(1+T19)^12</f>
        <v>384.53099734574914</v>
      </c>
      <c r="U20" s="98" t="s">
        <v>187</v>
      </c>
    </row>
    <row r="21" spans="2:21" ht="16.5" customHeight="1" outlineLevel="2" x14ac:dyDescent="0.15">
      <c r="B21" s="117" t="s">
        <v>85</v>
      </c>
      <c r="C21" s="129" t="s">
        <v>16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0.01</v>
      </c>
      <c r="Q21" s="16">
        <v>0.01</v>
      </c>
      <c r="R21" s="16">
        <v>0.01</v>
      </c>
      <c r="S21" s="16">
        <v>0.01</v>
      </c>
      <c r="T21" s="16">
        <v>0.01</v>
      </c>
      <c r="U21" s="98" t="s">
        <v>187</v>
      </c>
    </row>
    <row r="22" spans="2:21" ht="17.25" customHeight="1" outlineLevel="2" x14ac:dyDescent="0.15">
      <c r="B22" s="117" t="s">
        <v>86</v>
      </c>
      <c r="C22" s="128" t="s">
        <v>160</v>
      </c>
      <c r="D22" s="24">
        <v>1500</v>
      </c>
      <c r="E22" s="24">
        <v>1500</v>
      </c>
      <c r="F22" s="24">
        <v>1500</v>
      </c>
      <c r="G22" s="24">
        <v>1500</v>
      </c>
      <c r="H22" s="24">
        <v>1500</v>
      </c>
      <c r="I22" s="24">
        <v>1500</v>
      </c>
      <c r="J22" s="24">
        <v>1500</v>
      </c>
      <c r="K22" s="24">
        <v>1500</v>
      </c>
      <c r="L22" s="24">
        <v>1500</v>
      </c>
      <c r="M22" s="24">
        <v>1500</v>
      </c>
      <c r="N22" s="24">
        <v>1500</v>
      </c>
      <c r="O22" s="24">
        <v>1500</v>
      </c>
      <c r="P22" s="24">
        <v>1500</v>
      </c>
      <c r="Q22" s="24">
        <v>1500</v>
      </c>
      <c r="R22" s="24">
        <v>1500</v>
      </c>
      <c r="S22" s="24">
        <v>1500</v>
      </c>
      <c r="T22" s="24">
        <v>1500</v>
      </c>
      <c r="U22" s="98" t="s">
        <v>188</v>
      </c>
    </row>
    <row r="23" spans="2:21" ht="15.75" customHeight="1" outlineLevel="2" x14ac:dyDescent="0.15">
      <c r="B23" s="117" t="s">
        <v>87</v>
      </c>
      <c r="C23" s="127" t="s">
        <v>34</v>
      </c>
      <c r="D23" s="24">
        <v>3</v>
      </c>
      <c r="E23" s="24">
        <v>3</v>
      </c>
      <c r="F23" s="24">
        <v>3</v>
      </c>
      <c r="G23" s="24">
        <v>3</v>
      </c>
      <c r="H23" s="24">
        <v>3</v>
      </c>
      <c r="I23" s="24">
        <v>3</v>
      </c>
      <c r="J23" s="24">
        <v>3</v>
      </c>
      <c r="K23" s="24">
        <v>3</v>
      </c>
      <c r="L23" s="24">
        <v>3</v>
      </c>
      <c r="M23" s="24">
        <v>3</v>
      </c>
      <c r="N23" s="24">
        <v>3</v>
      </c>
      <c r="O23" s="24">
        <v>3</v>
      </c>
      <c r="P23" s="24">
        <v>3</v>
      </c>
      <c r="Q23" s="24">
        <v>3</v>
      </c>
      <c r="R23" s="24">
        <v>3</v>
      </c>
      <c r="S23" s="24">
        <v>3</v>
      </c>
      <c r="T23" s="24">
        <v>3</v>
      </c>
      <c r="U23" s="100" t="s">
        <v>189</v>
      </c>
    </row>
    <row r="24" spans="2:21" ht="15.75" customHeight="1" outlineLevel="2" x14ac:dyDescent="0.15">
      <c r="B24" s="117" t="s">
        <v>88</v>
      </c>
      <c r="C24" s="127" t="s">
        <v>35</v>
      </c>
      <c r="D24" s="25">
        <f t="shared" ref="D24:T24" si="2">+PRODUCT(D20:D23)</f>
        <v>0</v>
      </c>
      <c r="E24" s="25">
        <f t="shared" si="2"/>
        <v>0</v>
      </c>
      <c r="F24" s="25">
        <f t="shared" si="2"/>
        <v>0</v>
      </c>
      <c r="G24" s="25">
        <f t="shared" si="2"/>
        <v>0</v>
      </c>
      <c r="H24" s="25">
        <f t="shared" si="2"/>
        <v>0</v>
      </c>
      <c r="I24" s="25">
        <f t="shared" si="2"/>
        <v>0</v>
      </c>
      <c r="J24" s="25">
        <f t="shared" si="2"/>
        <v>0</v>
      </c>
      <c r="K24" s="25">
        <f t="shared" si="2"/>
        <v>0</v>
      </c>
      <c r="L24" s="25">
        <f t="shared" si="2"/>
        <v>0</v>
      </c>
      <c r="M24" s="25">
        <f t="shared" si="2"/>
        <v>0</v>
      </c>
      <c r="N24" s="25">
        <f t="shared" si="2"/>
        <v>0</v>
      </c>
      <c r="O24" s="25">
        <f t="shared" si="2"/>
        <v>0</v>
      </c>
      <c r="P24" s="25">
        <f t="shared" si="2"/>
        <v>11416.691378167938</v>
      </c>
      <c r="Q24" s="25">
        <f t="shared" si="2"/>
        <v>12115.484224042837</v>
      </c>
      <c r="R24" s="25">
        <f t="shared" si="2"/>
        <v>12857.048782428054</v>
      </c>
      <c r="S24" s="25">
        <f t="shared" si="2"/>
        <v>13644.003024302903</v>
      </c>
      <c r="T24" s="25">
        <f t="shared" si="2"/>
        <v>17303.894880558713</v>
      </c>
    </row>
    <row r="25" spans="2:21" ht="15.75" customHeight="1" outlineLevel="1" x14ac:dyDescent="0.15">
      <c r="B25" s="121"/>
      <c r="C25" s="130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2:21" ht="15.75" customHeight="1" outlineLevel="1" x14ac:dyDescent="0.15">
      <c r="B26" s="120" t="s">
        <v>89</v>
      </c>
      <c r="C26" s="127"/>
      <c r="D26" s="20" t="s">
        <v>17</v>
      </c>
      <c r="E26" s="20" t="s">
        <v>18</v>
      </c>
      <c r="F26" s="20" t="s">
        <v>19</v>
      </c>
      <c r="G26" s="20" t="s">
        <v>20</v>
      </c>
      <c r="H26" s="20" t="s">
        <v>21</v>
      </c>
      <c r="I26" s="20" t="s">
        <v>22</v>
      </c>
      <c r="J26" s="20" t="s">
        <v>23</v>
      </c>
      <c r="K26" s="20" t="s">
        <v>24</v>
      </c>
      <c r="L26" s="20" t="s">
        <v>25</v>
      </c>
      <c r="M26" s="20" t="s">
        <v>26</v>
      </c>
      <c r="N26" s="20" t="s">
        <v>27</v>
      </c>
      <c r="O26" s="20" t="s">
        <v>28</v>
      </c>
      <c r="P26" s="20" t="s">
        <v>29</v>
      </c>
      <c r="Q26" s="20" t="s">
        <v>30</v>
      </c>
      <c r="R26" s="20" t="s">
        <v>31</v>
      </c>
      <c r="S26" s="20" t="s">
        <v>32</v>
      </c>
      <c r="T26" s="20" t="s">
        <v>33</v>
      </c>
    </row>
    <row r="27" spans="2:21" ht="15.75" customHeight="1" outlineLevel="1" x14ac:dyDescent="0.15">
      <c r="B27" s="117" t="s">
        <v>83</v>
      </c>
      <c r="C27" s="127" t="s">
        <v>16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0.5</v>
      </c>
      <c r="L27" s="16">
        <v>0.5</v>
      </c>
      <c r="M27" s="16">
        <v>0.5</v>
      </c>
      <c r="N27" s="16">
        <v>0.5</v>
      </c>
      <c r="O27" s="16">
        <v>0.50329999999999997</v>
      </c>
      <c r="P27" s="16">
        <v>0.5</v>
      </c>
      <c r="Q27" s="16">
        <v>0.5</v>
      </c>
      <c r="R27" s="16">
        <v>0.5</v>
      </c>
      <c r="S27" s="16">
        <v>0.35</v>
      </c>
      <c r="T27" s="16">
        <v>0.15</v>
      </c>
      <c r="U27" s="100" t="s">
        <v>190</v>
      </c>
    </row>
    <row r="28" spans="2:21" ht="15.75" customHeight="1" outlineLevel="2" x14ac:dyDescent="0.15">
      <c r="B28" s="117" t="s">
        <v>90</v>
      </c>
      <c r="C28" s="128" t="s">
        <v>161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1</v>
      </c>
      <c r="K28" s="27">
        <f t="shared" ref="K28:M28" si="3">J28*(1+K27)</f>
        <v>1.5</v>
      </c>
      <c r="L28" s="27">
        <f t="shared" si="3"/>
        <v>2.25</v>
      </c>
      <c r="M28" s="27">
        <f t="shared" si="3"/>
        <v>3.375</v>
      </c>
      <c r="N28" s="27">
        <f>M28*(1+N27)</f>
        <v>5.0625</v>
      </c>
      <c r="O28" s="28">
        <f>N28*(1+O27)</f>
        <v>7.6104562499999995</v>
      </c>
      <c r="P28" s="29">
        <f>O28*(1+P27)^3</f>
        <v>25.685289843749999</v>
      </c>
      <c r="Q28" s="29">
        <f t="shared" ref="Q28:S28" si="4">P28*(1+Q27)^3</f>
        <v>86.687853222656244</v>
      </c>
      <c r="R28" s="29">
        <f t="shared" si="4"/>
        <v>292.57150462646484</v>
      </c>
      <c r="S28" s="29">
        <f t="shared" si="4"/>
        <v>719.83561569533856</v>
      </c>
      <c r="T28" s="29">
        <f>S28*(1+T27)^12</f>
        <v>3851.3005787977149</v>
      </c>
      <c r="U28" s="100" t="s">
        <v>191</v>
      </c>
    </row>
    <row r="29" spans="2:21" ht="15.75" customHeight="1" outlineLevel="2" x14ac:dyDescent="0.15">
      <c r="B29" s="117" t="s">
        <v>91</v>
      </c>
      <c r="C29" s="128" t="s">
        <v>162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25000</v>
      </c>
      <c r="K29" s="24">
        <v>25000</v>
      </c>
      <c r="L29" s="24">
        <v>25000</v>
      </c>
      <c r="M29" s="24">
        <v>25000</v>
      </c>
      <c r="N29" s="24">
        <v>25000</v>
      </c>
      <c r="O29" s="24">
        <v>25000</v>
      </c>
      <c r="P29" s="24">
        <v>25000</v>
      </c>
      <c r="Q29" s="24">
        <v>25000</v>
      </c>
      <c r="R29" s="24">
        <v>25000</v>
      </c>
      <c r="S29" s="24">
        <v>25000</v>
      </c>
      <c r="T29" s="24">
        <v>25000</v>
      </c>
      <c r="U29" s="100" t="s">
        <v>192</v>
      </c>
    </row>
    <row r="30" spans="2:21" ht="13" outlineLevel="2" x14ac:dyDescent="0.15">
      <c r="B30" s="117" t="s">
        <v>92</v>
      </c>
      <c r="C30" s="129" t="s">
        <v>16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0.15</v>
      </c>
      <c r="N30" s="16">
        <v>0.2</v>
      </c>
      <c r="O30" s="16">
        <v>0.25498999999999999</v>
      </c>
      <c r="P30" s="16">
        <v>0.35</v>
      </c>
      <c r="Q30" s="16">
        <v>0.4</v>
      </c>
      <c r="R30" s="16">
        <v>0.47</v>
      </c>
      <c r="S30" s="16">
        <v>0.47</v>
      </c>
      <c r="T30" s="16">
        <v>0.47</v>
      </c>
      <c r="U30" s="98" t="s">
        <v>193</v>
      </c>
    </row>
    <row r="31" spans="2:21" ht="15.75" customHeight="1" outlineLevel="2" x14ac:dyDescent="0.15">
      <c r="B31" s="117" t="s">
        <v>93</v>
      </c>
      <c r="C31" s="128" t="s">
        <v>163</v>
      </c>
      <c r="D31" s="30">
        <f>D28*D29*D30</f>
        <v>0</v>
      </c>
      <c r="E31" s="30">
        <f t="shared" ref="E31:T31" si="5">E28*E29*E30</f>
        <v>0</v>
      </c>
      <c r="F31" s="30">
        <f t="shared" si="5"/>
        <v>0</v>
      </c>
      <c r="G31" s="30">
        <f t="shared" si="5"/>
        <v>0</v>
      </c>
      <c r="H31" s="30">
        <f t="shared" si="5"/>
        <v>0</v>
      </c>
      <c r="I31" s="30">
        <f t="shared" si="5"/>
        <v>0</v>
      </c>
      <c r="J31" s="30">
        <f t="shared" si="5"/>
        <v>0</v>
      </c>
      <c r="K31" s="30">
        <f t="shared" si="5"/>
        <v>0</v>
      </c>
      <c r="L31" s="30">
        <f t="shared" si="5"/>
        <v>0</v>
      </c>
      <c r="M31" s="30">
        <f t="shared" si="5"/>
        <v>12656.25</v>
      </c>
      <c r="N31" s="30">
        <f t="shared" si="5"/>
        <v>25312.5</v>
      </c>
      <c r="O31" s="30">
        <f>O28*O29*O30</f>
        <v>48514.755979687499</v>
      </c>
      <c r="P31" s="30">
        <f t="shared" si="5"/>
        <v>224746.2861328125</v>
      </c>
      <c r="Q31" s="30">
        <f t="shared" si="5"/>
        <v>866878.5322265625</v>
      </c>
      <c r="R31" s="30">
        <f t="shared" si="5"/>
        <v>3437715.1793609615</v>
      </c>
      <c r="S31" s="30">
        <f t="shared" si="5"/>
        <v>8458068.4844202269</v>
      </c>
      <c r="T31" s="25">
        <f t="shared" si="5"/>
        <v>45252781.800873145</v>
      </c>
    </row>
    <row r="32" spans="2:21" ht="13" outlineLevel="2" x14ac:dyDescent="0.15">
      <c r="B32" s="117" t="s">
        <v>94</v>
      </c>
      <c r="C32" s="127" t="s">
        <v>36</v>
      </c>
      <c r="D32" s="16">
        <v>0</v>
      </c>
      <c r="E32" s="16">
        <v>0</v>
      </c>
      <c r="F32" s="16">
        <v>0</v>
      </c>
      <c r="G32" s="16">
        <v>0</v>
      </c>
      <c r="H32" s="73">
        <v>0</v>
      </c>
      <c r="I32" s="73">
        <v>0</v>
      </c>
      <c r="J32" s="73">
        <v>0</v>
      </c>
      <c r="K32" s="73">
        <v>0.05</v>
      </c>
      <c r="L32" s="73">
        <v>0.05</v>
      </c>
      <c r="M32" s="73">
        <v>7.4999999999999997E-2</v>
      </c>
      <c r="N32" s="73">
        <v>7.4999999999999997E-2</v>
      </c>
      <c r="O32" s="73">
        <v>7.5498999999999997E-2</v>
      </c>
      <c r="P32" s="73">
        <v>7.4999999999999997E-2</v>
      </c>
      <c r="Q32" s="73">
        <v>7.4999999999999997E-2</v>
      </c>
      <c r="R32" s="73">
        <v>7.4999999999999997E-2</v>
      </c>
      <c r="S32" s="73">
        <v>0.1</v>
      </c>
      <c r="T32" s="16">
        <v>0.1</v>
      </c>
      <c r="U32" s="100" t="s">
        <v>194</v>
      </c>
    </row>
    <row r="33" spans="1:41" ht="15.75" customHeight="1" outlineLevel="2" x14ac:dyDescent="0.15">
      <c r="B33" s="117" t="s">
        <v>95</v>
      </c>
      <c r="C33" s="127" t="s">
        <v>37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3</v>
      </c>
      <c r="K33" s="24">
        <v>3</v>
      </c>
      <c r="L33" s="24">
        <v>3</v>
      </c>
      <c r="M33" s="24">
        <v>3</v>
      </c>
      <c r="N33" s="24">
        <v>3</v>
      </c>
      <c r="O33" s="24">
        <v>3</v>
      </c>
      <c r="P33" s="24">
        <v>3</v>
      </c>
      <c r="Q33" s="24">
        <v>3</v>
      </c>
      <c r="R33" s="24">
        <v>3</v>
      </c>
      <c r="S33" s="24">
        <v>3</v>
      </c>
      <c r="T33" s="24">
        <v>3</v>
      </c>
      <c r="U33" s="100" t="s">
        <v>189</v>
      </c>
    </row>
    <row r="34" spans="1:41" ht="15.75" customHeight="1" outlineLevel="2" x14ac:dyDescent="0.15">
      <c r="B34" s="117" t="s">
        <v>88</v>
      </c>
      <c r="C34" s="131" t="s">
        <v>35</v>
      </c>
      <c r="D34" s="25">
        <f>+PRODUCT(D31:D33)</f>
        <v>0</v>
      </c>
      <c r="E34" s="25">
        <f t="shared" ref="E34:T34" si="6">+PRODUCT(E31:E33)</f>
        <v>0</v>
      </c>
      <c r="F34" s="25">
        <f t="shared" si="6"/>
        <v>0</v>
      </c>
      <c r="G34" s="25">
        <f t="shared" si="6"/>
        <v>0</v>
      </c>
      <c r="H34" s="25">
        <f t="shared" si="6"/>
        <v>0</v>
      </c>
      <c r="I34" s="25">
        <f t="shared" si="6"/>
        <v>0</v>
      </c>
      <c r="J34" s="25">
        <f t="shared" si="6"/>
        <v>0</v>
      </c>
      <c r="K34" s="25">
        <f t="shared" si="6"/>
        <v>0</v>
      </c>
      <c r="L34" s="25">
        <f t="shared" si="6"/>
        <v>0</v>
      </c>
      <c r="M34" s="25">
        <f t="shared" si="6"/>
        <v>2847.65625</v>
      </c>
      <c r="N34" s="25">
        <f t="shared" si="6"/>
        <v>5695.3125</v>
      </c>
      <c r="O34" s="25">
        <f t="shared" si="6"/>
        <v>10988.446685131279</v>
      </c>
      <c r="P34" s="25">
        <f t="shared" si="6"/>
        <v>50567.914379882808</v>
      </c>
      <c r="Q34" s="25">
        <f t="shared" si="6"/>
        <v>195047.66975097655</v>
      </c>
      <c r="R34" s="25">
        <f t="shared" si="6"/>
        <v>773485.91535621625</v>
      </c>
      <c r="S34" s="25">
        <f t="shared" si="6"/>
        <v>2537420.5453260681</v>
      </c>
      <c r="T34" s="25">
        <f t="shared" si="6"/>
        <v>13575834.540261945</v>
      </c>
    </row>
    <row r="35" spans="1:41" ht="15.75" customHeight="1" outlineLevel="1" x14ac:dyDescent="0.15">
      <c r="B35" s="121"/>
      <c r="C35" s="130"/>
    </row>
    <row r="36" spans="1:41" ht="20" outlineLevel="1" x14ac:dyDescent="0.2">
      <c r="B36" s="122" t="s">
        <v>96</v>
      </c>
      <c r="C36" s="130"/>
      <c r="D36" s="20" t="s">
        <v>17</v>
      </c>
      <c r="E36" s="20" t="s">
        <v>18</v>
      </c>
      <c r="F36" s="20" t="s">
        <v>19</v>
      </c>
      <c r="G36" s="20" t="s">
        <v>20</v>
      </c>
      <c r="H36" s="20" t="s">
        <v>21</v>
      </c>
      <c r="I36" s="20" t="s">
        <v>22</v>
      </c>
      <c r="J36" s="20" t="s">
        <v>23</v>
      </c>
      <c r="K36" s="20" t="s">
        <v>24</v>
      </c>
      <c r="L36" s="20" t="s">
        <v>25</v>
      </c>
      <c r="M36" s="20" t="s">
        <v>26</v>
      </c>
      <c r="N36" s="20" t="s">
        <v>27</v>
      </c>
      <c r="O36" s="20" t="s">
        <v>28</v>
      </c>
      <c r="P36" s="20" t="s">
        <v>29</v>
      </c>
      <c r="Q36" s="20" t="s">
        <v>30</v>
      </c>
      <c r="R36" s="20" t="s">
        <v>31</v>
      </c>
      <c r="S36" s="20" t="s">
        <v>32</v>
      </c>
      <c r="T36" s="31" t="s">
        <v>33</v>
      </c>
    </row>
    <row r="37" spans="1:41" ht="15.75" customHeight="1" outlineLevel="1" x14ac:dyDescent="0.15">
      <c r="B37" s="117" t="s">
        <v>97</v>
      </c>
      <c r="C37" s="128" t="s">
        <v>164</v>
      </c>
      <c r="D37" s="29">
        <f>(D22*D20)+D31</f>
        <v>300000</v>
      </c>
      <c r="E37" s="29">
        <f t="shared" ref="E37:S37" si="7">(E22*E20)+E31</f>
        <v>303000</v>
      </c>
      <c r="F37" s="29">
        <f t="shared" si="7"/>
        <v>306030</v>
      </c>
      <c r="G37" s="29">
        <f t="shared" si="7"/>
        <v>309090.3</v>
      </c>
      <c r="H37" s="29">
        <f t="shared" si="7"/>
        <v>313726.65449999995</v>
      </c>
      <c r="I37" s="29">
        <f t="shared" si="7"/>
        <v>318432.55431749998</v>
      </c>
      <c r="J37" s="29">
        <f t="shared" si="7"/>
        <v>324801.20540384995</v>
      </c>
      <c r="K37" s="29">
        <f t="shared" si="7"/>
        <v>331297.22951192694</v>
      </c>
      <c r="L37" s="29">
        <f t="shared" si="7"/>
        <v>337923.1741021655</v>
      </c>
      <c r="M37" s="29">
        <f t="shared" si="7"/>
        <v>357337.8875842088</v>
      </c>
      <c r="N37" s="29">
        <f t="shared" si="7"/>
        <v>376887.77033589303</v>
      </c>
      <c r="O37" s="29">
        <f t="shared" si="7"/>
        <v>407121.53172229836</v>
      </c>
      <c r="P37" s="29">
        <f t="shared" si="7"/>
        <v>605302.66540507704</v>
      </c>
      <c r="Q37" s="29">
        <f t="shared" si="7"/>
        <v>1270728.0063613239</v>
      </c>
      <c r="R37" s="29">
        <f t="shared" si="7"/>
        <v>3866283.4721085634</v>
      </c>
      <c r="S37" s="29">
        <f t="shared" si="7"/>
        <v>8912868.5852303244</v>
      </c>
      <c r="T37" s="29">
        <f>(T22*T20)+T31</f>
        <v>45829578.296891771</v>
      </c>
      <c r="U37" s="81">
        <f>T37/447000000</f>
        <v>0.10252702079841559</v>
      </c>
      <c r="V37" s="98" t="s">
        <v>195</v>
      </c>
    </row>
    <row r="38" spans="1:41" ht="15.75" customHeight="1" outlineLevel="1" x14ac:dyDescent="0.15">
      <c r="B38" s="117" t="s">
        <v>98</v>
      </c>
      <c r="C38" s="128" t="s">
        <v>165</v>
      </c>
      <c r="D38" s="24">
        <v>1</v>
      </c>
      <c r="E38" s="24">
        <v>1</v>
      </c>
      <c r="F38" s="24">
        <v>1</v>
      </c>
      <c r="G38" s="24">
        <v>1</v>
      </c>
      <c r="H38" s="24">
        <v>1</v>
      </c>
      <c r="I38" s="24">
        <v>1</v>
      </c>
      <c r="J38" s="24">
        <v>1</v>
      </c>
      <c r="K38" s="24">
        <v>1</v>
      </c>
      <c r="L38" s="24">
        <v>1</v>
      </c>
      <c r="M38" s="24">
        <v>1</v>
      </c>
      <c r="N38" s="24">
        <v>1</v>
      </c>
      <c r="O38" s="24">
        <v>1</v>
      </c>
      <c r="P38" s="24">
        <v>2</v>
      </c>
      <c r="Q38" s="24">
        <v>2</v>
      </c>
      <c r="R38" s="24">
        <v>2</v>
      </c>
      <c r="S38" s="24">
        <v>2</v>
      </c>
      <c r="T38" s="24">
        <v>3</v>
      </c>
    </row>
    <row r="39" spans="1:41" ht="15.75" customHeight="1" outlineLevel="2" x14ac:dyDescent="0.15">
      <c r="B39" s="117" t="s">
        <v>99</v>
      </c>
      <c r="C39" s="128" t="s">
        <v>166</v>
      </c>
      <c r="D39" s="29">
        <f t="shared" ref="D39:T39" si="8">D37*D38</f>
        <v>300000</v>
      </c>
      <c r="E39" s="29">
        <f t="shared" si="8"/>
        <v>303000</v>
      </c>
      <c r="F39" s="29">
        <f t="shared" si="8"/>
        <v>306030</v>
      </c>
      <c r="G39" s="29">
        <f t="shared" si="8"/>
        <v>309090.3</v>
      </c>
      <c r="H39" s="29">
        <f t="shared" si="8"/>
        <v>313726.65449999995</v>
      </c>
      <c r="I39" s="29">
        <f t="shared" si="8"/>
        <v>318432.55431749998</v>
      </c>
      <c r="J39" s="29">
        <f t="shared" si="8"/>
        <v>324801.20540384995</v>
      </c>
      <c r="K39" s="29">
        <f t="shared" si="8"/>
        <v>331297.22951192694</v>
      </c>
      <c r="L39" s="29">
        <f t="shared" si="8"/>
        <v>337923.1741021655</v>
      </c>
      <c r="M39" s="29">
        <f t="shared" si="8"/>
        <v>357337.8875842088</v>
      </c>
      <c r="N39" s="29">
        <f t="shared" si="8"/>
        <v>376887.77033589303</v>
      </c>
      <c r="O39" s="29">
        <f t="shared" si="8"/>
        <v>407121.53172229836</v>
      </c>
      <c r="P39" s="29">
        <f t="shared" si="8"/>
        <v>1210605.3308101541</v>
      </c>
      <c r="Q39" s="29">
        <f t="shared" si="8"/>
        <v>2541456.0127226477</v>
      </c>
      <c r="R39" s="29">
        <f t="shared" si="8"/>
        <v>7732566.9442171268</v>
      </c>
      <c r="S39" s="29">
        <f t="shared" si="8"/>
        <v>17825737.170460649</v>
      </c>
      <c r="T39" s="29">
        <f t="shared" si="8"/>
        <v>137488734.89067531</v>
      </c>
    </row>
    <row r="40" spans="1:41" ht="15.75" customHeight="1" outlineLevel="2" x14ac:dyDescent="0.15">
      <c r="B40" s="117" t="s">
        <v>100</v>
      </c>
      <c r="C40" s="127" t="s">
        <v>16</v>
      </c>
      <c r="D40" s="16">
        <v>0.05</v>
      </c>
      <c r="E40" s="73">
        <v>7.4999999999999997E-2</v>
      </c>
      <c r="F40" s="16">
        <v>0.1</v>
      </c>
      <c r="G40" s="73">
        <v>0.125</v>
      </c>
      <c r="H40" s="16">
        <v>0.15</v>
      </c>
      <c r="I40" s="16">
        <v>0.18</v>
      </c>
      <c r="J40" s="16">
        <v>0.18</v>
      </c>
      <c r="K40" s="16">
        <v>0.18</v>
      </c>
      <c r="L40" s="16">
        <v>0.18</v>
      </c>
      <c r="M40" s="16">
        <v>0.18</v>
      </c>
      <c r="N40" s="16">
        <v>0.18</v>
      </c>
      <c r="O40" s="16">
        <v>0.18</v>
      </c>
      <c r="P40" s="16">
        <v>0.18</v>
      </c>
      <c r="Q40" s="16">
        <v>0.18</v>
      </c>
      <c r="R40" s="16">
        <v>0.18</v>
      </c>
      <c r="S40" s="16">
        <v>0.18</v>
      </c>
      <c r="T40" s="16">
        <v>0.18</v>
      </c>
      <c r="U40" s="98" t="s">
        <v>196</v>
      </c>
    </row>
    <row r="41" spans="1:41" ht="15.75" customHeight="1" outlineLevel="2" x14ac:dyDescent="0.15">
      <c r="B41" s="117" t="s">
        <v>101</v>
      </c>
      <c r="C41" s="128" t="s">
        <v>167</v>
      </c>
      <c r="D41" s="29">
        <f t="shared" ref="D41:T41" si="9">D39*D40</f>
        <v>15000</v>
      </c>
      <c r="E41" s="29">
        <f t="shared" si="9"/>
        <v>22725</v>
      </c>
      <c r="F41" s="29">
        <f t="shared" si="9"/>
        <v>30603</v>
      </c>
      <c r="G41" s="29">
        <f t="shared" si="9"/>
        <v>38636.287499999999</v>
      </c>
      <c r="H41" s="29">
        <f t="shared" si="9"/>
        <v>47058.998174999993</v>
      </c>
      <c r="I41" s="29">
        <f t="shared" si="9"/>
        <v>57317.859777149992</v>
      </c>
      <c r="J41" s="29">
        <f t="shared" si="9"/>
        <v>58464.216972692986</v>
      </c>
      <c r="K41" s="29">
        <f t="shared" si="9"/>
        <v>59633.501312146844</v>
      </c>
      <c r="L41" s="29">
        <f t="shared" si="9"/>
        <v>60826.171338389788</v>
      </c>
      <c r="M41" s="29">
        <f t="shared" si="9"/>
        <v>64320.819765157583</v>
      </c>
      <c r="N41" s="29">
        <f t="shared" si="9"/>
        <v>67839.798660460743</v>
      </c>
      <c r="O41" s="29">
        <f t="shared" si="9"/>
        <v>73281.875710013701</v>
      </c>
      <c r="P41" s="29">
        <f t="shared" si="9"/>
        <v>217908.95954582773</v>
      </c>
      <c r="Q41" s="29">
        <f t="shared" si="9"/>
        <v>457462.08229007659</v>
      </c>
      <c r="R41" s="29">
        <f t="shared" si="9"/>
        <v>1391862.0499590829</v>
      </c>
      <c r="S41" s="29">
        <f t="shared" si="9"/>
        <v>3208632.6906829169</v>
      </c>
      <c r="T41" s="29">
        <f t="shared" si="9"/>
        <v>24747972.280321553</v>
      </c>
    </row>
    <row r="42" spans="1:41" ht="13" outlineLevel="2" x14ac:dyDescent="0.15">
      <c r="B42" s="117" t="s">
        <v>102</v>
      </c>
      <c r="C42" s="127" t="s">
        <v>35</v>
      </c>
      <c r="D42" s="24">
        <v>25</v>
      </c>
      <c r="E42" s="24">
        <v>25</v>
      </c>
      <c r="F42" s="24">
        <v>25</v>
      </c>
      <c r="G42" s="24">
        <v>25</v>
      </c>
      <c r="H42" s="24">
        <v>25</v>
      </c>
      <c r="I42" s="24">
        <v>25</v>
      </c>
      <c r="J42" s="24">
        <v>25</v>
      </c>
      <c r="K42" s="24">
        <v>25</v>
      </c>
      <c r="L42" s="24">
        <v>25</v>
      </c>
      <c r="M42" s="24">
        <v>25</v>
      </c>
      <c r="N42" s="24">
        <v>25</v>
      </c>
      <c r="O42" s="24">
        <v>25</v>
      </c>
      <c r="P42" s="24">
        <v>25</v>
      </c>
      <c r="Q42" s="24">
        <v>25</v>
      </c>
      <c r="R42" s="24">
        <v>25</v>
      </c>
      <c r="S42" s="24">
        <v>25</v>
      </c>
      <c r="T42" s="24">
        <v>25</v>
      </c>
      <c r="U42" s="98" t="s">
        <v>197</v>
      </c>
    </row>
    <row r="43" spans="1:41" ht="15.75" customHeight="1" outlineLevel="2" x14ac:dyDescent="0.15">
      <c r="B43" s="117" t="s">
        <v>103</v>
      </c>
      <c r="C43" s="127" t="s">
        <v>16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0.1</v>
      </c>
      <c r="N43" s="16">
        <v>0.2</v>
      </c>
      <c r="O43" s="16">
        <v>0.3</v>
      </c>
      <c r="P43" s="16">
        <v>0.4</v>
      </c>
      <c r="Q43" s="16">
        <v>0.5</v>
      </c>
      <c r="R43" s="16">
        <v>0.5</v>
      </c>
      <c r="S43" s="16">
        <v>0.5</v>
      </c>
      <c r="T43" s="16">
        <v>0.5</v>
      </c>
      <c r="U43" s="100" t="s">
        <v>198</v>
      </c>
    </row>
    <row r="44" spans="1:41" ht="15.75" customHeight="1" outlineLevel="2" x14ac:dyDescent="0.15">
      <c r="B44" s="117" t="s">
        <v>104</v>
      </c>
      <c r="C44" s="127" t="s">
        <v>16</v>
      </c>
      <c r="D44" s="16">
        <v>0.03</v>
      </c>
      <c r="E44" s="16">
        <v>0.03</v>
      </c>
      <c r="F44" s="16">
        <v>0.03</v>
      </c>
      <c r="G44" s="16">
        <v>0.03</v>
      </c>
      <c r="H44" s="16">
        <v>0.03</v>
      </c>
      <c r="I44" s="16">
        <v>0.03</v>
      </c>
      <c r="J44" s="16">
        <v>0.03</v>
      </c>
      <c r="K44" s="16">
        <v>0.03</v>
      </c>
      <c r="L44" s="16">
        <v>0.03</v>
      </c>
      <c r="M44" s="16">
        <v>0.03</v>
      </c>
      <c r="N44" s="16">
        <v>0.03</v>
      </c>
      <c r="O44" s="16">
        <v>0.03</v>
      </c>
      <c r="P44" s="16">
        <v>0.03</v>
      </c>
      <c r="Q44" s="16">
        <v>0.03</v>
      </c>
      <c r="R44" s="16">
        <v>0.03</v>
      </c>
      <c r="S44" s="16">
        <v>0.03</v>
      </c>
      <c r="T44" s="16">
        <v>0.03</v>
      </c>
      <c r="U44" s="98" t="s">
        <v>199</v>
      </c>
    </row>
    <row r="45" spans="1:41" ht="15.75" customHeight="1" outlineLevel="2" x14ac:dyDescent="0.15">
      <c r="B45" s="117" t="s">
        <v>105</v>
      </c>
      <c r="C45" s="127" t="s">
        <v>35</v>
      </c>
      <c r="D45" s="25">
        <f t="shared" ref="D45:S45" si="10">+PRODUCT(D41:D44)</f>
        <v>0</v>
      </c>
      <c r="E45" s="25">
        <f t="shared" si="10"/>
        <v>0</v>
      </c>
      <c r="F45" s="25">
        <f t="shared" si="10"/>
        <v>0</v>
      </c>
      <c r="G45" s="25">
        <f t="shared" si="10"/>
        <v>0</v>
      </c>
      <c r="H45" s="25">
        <f t="shared" si="10"/>
        <v>0</v>
      </c>
      <c r="I45" s="25">
        <f t="shared" si="10"/>
        <v>0</v>
      </c>
      <c r="J45" s="25">
        <f t="shared" si="10"/>
        <v>0</v>
      </c>
      <c r="K45" s="25">
        <f t="shared" si="10"/>
        <v>0</v>
      </c>
      <c r="L45" s="25">
        <f t="shared" si="10"/>
        <v>0</v>
      </c>
      <c r="M45" s="25">
        <f t="shared" si="10"/>
        <v>4824.0614823868182</v>
      </c>
      <c r="N45" s="25">
        <f t="shared" si="10"/>
        <v>10175.969799069113</v>
      </c>
      <c r="O45" s="25">
        <f t="shared" si="10"/>
        <v>16488.422034753079</v>
      </c>
      <c r="P45" s="25">
        <f t="shared" si="10"/>
        <v>65372.687863748324</v>
      </c>
      <c r="Q45" s="25">
        <f t="shared" si="10"/>
        <v>171548.28085877871</v>
      </c>
      <c r="R45" s="25">
        <f t="shared" si="10"/>
        <v>521948.26873465604</v>
      </c>
      <c r="S45" s="25">
        <f t="shared" si="10"/>
        <v>1203237.2590060937</v>
      </c>
      <c r="T45" s="25">
        <f>+PRODUCT(T41:T44)</f>
        <v>9280489.6051205825</v>
      </c>
    </row>
    <row r="46" spans="1:41" ht="15.75" customHeight="1" outlineLevel="1" x14ac:dyDescent="0.15">
      <c r="C46" s="127"/>
    </row>
    <row r="47" spans="1:41" ht="15.75" customHeight="1" x14ac:dyDescent="0.2">
      <c r="A47" s="13"/>
      <c r="B47" s="116" t="s">
        <v>106</v>
      </c>
      <c r="C47" s="12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</row>
    <row r="48" spans="1:41" ht="15.75" customHeight="1" outlineLevel="1" x14ac:dyDescent="0.15">
      <c r="C48" s="127"/>
    </row>
    <row r="49" spans="2:21" ht="15.75" customHeight="1" outlineLevel="1" x14ac:dyDescent="0.2">
      <c r="B49" s="119" t="s">
        <v>81</v>
      </c>
      <c r="C49" s="12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2:21" ht="15.75" customHeight="1" outlineLevel="1" x14ac:dyDescent="0.15">
      <c r="B50" s="120" t="s">
        <v>82</v>
      </c>
      <c r="C50" s="127"/>
      <c r="D50" s="20" t="s">
        <v>17</v>
      </c>
      <c r="E50" s="20" t="s">
        <v>18</v>
      </c>
      <c r="F50" s="20" t="s">
        <v>19</v>
      </c>
      <c r="G50" s="20" t="s">
        <v>20</v>
      </c>
      <c r="H50" s="20" t="s">
        <v>21</v>
      </c>
      <c r="I50" s="20" t="s">
        <v>22</v>
      </c>
      <c r="J50" s="31" t="s">
        <v>23</v>
      </c>
      <c r="K50" s="20" t="s">
        <v>24</v>
      </c>
      <c r="L50" s="20" t="s">
        <v>25</v>
      </c>
      <c r="M50" s="20" t="s">
        <v>26</v>
      </c>
      <c r="N50" s="20" t="s">
        <v>27</v>
      </c>
      <c r="O50" s="20" t="s">
        <v>28</v>
      </c>
      <c r="P50" s="20" t="s">
        <v>29</v>
      </c>
      <c r="Q50" s="20" t="s">
        <v>30</v>
      </c>
      <c r="R50" s="20" t="s">
        <v>31</v>
      </c>
      <c r="S50" s="20" t="s">
        <v>32</v>
      </c>
      <c r="T50" s="20" t="s">
        <v>33</v>
      </c>
    </row>
    <row r="51" spans="2:21" ht="15.75" customHeight="1" outlineLevel="1" x14ac:dyDescent="0.15">
      <c r="B51" s="117" t="s">
        <v>83</v>
      </c>
      <c r="C51" s="127" t="s">
        <v>16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0.04</v>
      </c>
      <c r="O51" s="16">
        <v>7.0000000000000007E-2</v>
      </c>
      <c r="P51" s="16">
        <v>0.1</v>
      </c>
      <c r="Q51" s="16">
        <v>0.1</v>
      </c>
      <c r="R51" s="16">
        <v>0.1</v>
      </c>
      <c r="S51" s="16">
        <v>0.1</v>
      </c>
      <c r="T51" s="16">
        <v>0.1</v>
      </c>
      <c r="U51" s="100" t="s">
        <v>186</v>
      </c>
    </row>
    <row r="52" spans="2:21" ht="13" outlineLevel="2" x14ac:dyDescent="0.15">
      <c r="B52" s="117" t="s">
        <v>84</v>
      </c>
      <c r="C52" s="128" t="s">
        <v>159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f t="shared" ref="L52:O52" si="11">K52*(1+L51)</f>
        <v>0</v>
      </c>
      <c r="M52" s="24">
        <v>5</v>
      </c>
      <c r="N52" s="29">
        <f t="shared" si="11"/>
        <v>5.2</v>
      </c>
      <c r="O52" s="29">
        <f t="shared" si="11"/>
        <v>5.5640000000000009</v>
      </c>
      <c r="P52" s="29">
        <f t="shared" ref="P52:S52" si="12">O52*(1+P51)^3</f>
        <v>7.4056840000000035</v>
      </c>
      <c r="Q52" s="29">
        <f t="shared" si="12"/>
        <v>9.8569654040000074</v>
      </c>
      <c r="R52" s="29">
        <f t="shared" si="12"/>
        <v>13.119620952724015</v>
      </c>
      <c r="S52" s="29">
        <f t="shared" si="12"/>
        <v>17.462215488075667</v>
      </c>
      <c r="T52" s="29">
        <f>S52*(1+T51)^12</f>
        <v>54.80391260819367</v>
      </c>
    </row>
    <row r="53" spans="2:21" ht="16.5" customHeight="1" outlineLevel="2" x14ac:dyDescent="0.15">
      <c r="B53" s="117" t="s">
        <v>85</v>
      </c>
      <c r="C53" s="129" t="s">
        <v>16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0.01</v>
      </c>
      <c r="O53" s="16">
        <v>0.01</v>
      </c>
      <c r="P53" s="16">
        <v>0.01</v>
      </c>
      <c r="Q53" s="16">
        <v>0.01</v>
      </c>
      <c r="R53" s="16">
        <v>0.01</v>
      </c>
      <c r="S53" s="16">
        <v>0.01</v>
      </c>
      <c r="T53" s="16">
        <v>0.01</v>
      </c>
      <c r="U53" s="98" t="s">
        <v>200</v>
      </c>
    </row>
    <row r="54" spans="2:21" ht="17.25" customHeight="1" outlineLevel="2" x14ac:dyDescent="0.15">
      <c r="B54" s="117" t="s">
        <v>86</v>
      </c>
      <c r="C54" s="128" t="s">
        <v>160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50000</v>
      </c>
      <c r="N54" s="24">
        <v>50000</v>
      </c>
      <c r="O54" s="24">
        <v>50000</v>
      </c>
      <c r="P54" s="24">
        <v>50000</v>
      </c>
      <c r="Q54" s="24">
        <v>50000</v>
      </c>
      <c r="R54" s="24">
        <v>50000</v>
      </c>
      <c r="S54" s="24">
        <v>50000</v>
      </c>
      <c r="T54" s="24">
        <v>50000</v>
      </c>
      <c r="U54" s="98" t="s">
        <v>201</v>
      </c>
    </row>
    <row r="55" spans="2:21" ht="15.75" customHeight="1" outlineLevel="2" x14ac:dyDescent="0.15">
      <c r="B55" s="117" t="s">
        <v>87</v>
      </c>
      <c r="C55" s="127" t="s">
        <v>34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3</v>
      </c>
      <c r="O55" s="24">
        <v>3</v>
      </c>
      <c r="P55" s="24">
        <v>3</v>
      </c>
      <c r="Q55" s="24">
        <v>3</v>
      </c>
      <c r="R55" s="24">
        <v>3</v>
      </c>
      <c r="S55" s="24">
        <v>3</v>
      </c>
      <c r="T55" s="24">
        <v>3</v>
      </c>
      <c r="U55" s="100" t="s">
        <v>189</v>
      </c>
    </row>
    <row r="56" spans="2:21" ht="15.75" customHeight="1" outlineLevel="2" x14ac:dyDescent="0.15">
      <c r="B56" s="117" t="s">
        <v>88</v>
      </c>
      <c r="C56" s="127" t="s">
        <v>35</v>
      </c>
      <c r="D56" s="25">
        <f t="shared" ref="D56:T56" si="13">+PRODUCT(D52:D55)</f>
        <v>0</v>
      </c>
      <c r="E56" s="25">
        <f t="shared" si="13"/>
        <v>0</v>
      </c>
      <c r="F56" s="25">
        <f t="shared" si="13"/>
        <v>0</v>
      </c>
      <c r="G56" s="25">
        <f t="shared" si="13"/>
        <v>0</v>
      </c>
      <c r="H56" s="25">
        <f t="shared" si="13"/>
        <v>0</v>
      </c>
      <c r="I56" s="25">
        <f t="shared" si="13"/>
        <v>0</v>
      </c>
      <c r="J56" s="25">
        <f t="shared" si="13"/>
        <v>0</v>
      </c>
      <c r="K56" s="25">
        <f t="shared" si="13"/>
        <v>0</v>
      </c>
      <c r="L56" s="25">
        <f t="shared" si="13"/>
        <v>0</v>
      </c>
      <c r="M56" s="25">
        <f t="shared" si="13"/>
        <v>0</v>
      </c>
      <c r="N56" s="25">
        <f t="shared" si="13"/>
        <v>7800.0000000000018</v>
      </c>
      <c r="O56" s="25">
        <f t="shared" si="13"/>
        <v>8346.0000000000018</v>
      </c>
      <c r="P56" s="25">
        <f t="shared" si="13"/>
        <v>11108.526000000005</v>
      </c>
      <c r="Q56" s="25">
        <f t="shared" si="13"/>
        <v>14785.448106000011</v>
      </c>
      <c r="R56" s="25">
        <f t="shared" si="13"/>
        <v>19679.431429086024</v>
      </c>
      <c r="S56" s="25">
        <f t="shared" si="13"/>
        <v>26193.3232321135</v>
      </c>
      <c r="T56" s="25">
        <f t="shared" si="13"/>
        <v>82205.868912290505</v>
      </c>
    </row>
    <row r="57" spans="2:21" ht="15.75" customHeight="1" outlineLevel="1" x14ac:dyDescent="0.15">
      <c r="B57" s="121"/>
      <c r="C57" s="130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2:21" ht="15.75" customHeight="1" outlineLevel="1" x14ac:dyDescent="0.15">
      <c r="B58" s="120" t="s">
        <v>89</v>
      </c>
      <c r="C58" s="127"/>
      <c r="D58" s="20" t="s">
        <v>17</v>
      </c>
      <c r="E58" s="20" t="s">
        <v>18</v>
      </c>
      <c r="F58" s="20" t="s">
        <v>19</v>
      </c>
      <c r="G58" s="20" t="s">
        <v>20</v>
      </c>
      <c r="H58" s="20" t="s">
        <v>21</v>
      </c>
      <c r="I58" s="20" t="s">
        <v>22</v>
      </c>
      <c r="J58" s="20" t="s">
        <v>23</v>
      </c>
      <c r="K58" s="20" t="s">
        <v>24</v>
      </c>
      <c r="L58" s="20" t="s">
        <v>25</v>
      </c>
      <c r="M58" s="20" t="s">
        <v>26</v>
      </c>
      <c r="N58" s="20" t="s">
        <v>27</v>
      </c>
      <c r="O58" s="20" t="s">
        <v>28</v>
      </c>
      <c r="P58" s="20" t="s">
        <v>29</v>
      </c>
      <c r="Q58" s="20" t="s">
        <v>30</v>
      </c>
      <c r="R58" s="20" t="s">
        <v>31</v>
      </c>
      <c r="S58" s="20" t="s">
        <v>32</v>
      </c>
      <c r="T58" s="20" t="s">
        <v>33</v>
      </c>
    </row>
    <row r="59" spans="2:21" ht="15.75" customHeight="1" outlineLevel="1" x14ac:dyDescent="0.15">
      <c r="B59" s="117" t="s">
        <v>83</v>
      </c>
      <c r="C59" s="127" t="s">
        <v>16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0.5</v>
      </c>
      <c r="L59" s="16">
        <v>0.5</v>
      </c>
      <c r="M59" s="16">
        <v>1</v>
      </c>
      <c r="N59" s="16">
        <v>1</v>
      </c>
      <c r="O59" s="16">
        <v>1</v>
      </c>
      <c r="P59" s="16">
        <v>0.8</v>
      </c>
      <c r="Q59" s="16">
        <v>0.6</v>
      </c>
      <c r="R59" s="16">
        <v>0.3</v>
      </c>
      <c r="S59" s="16">
        <v>0.15</v>
      </c>
      <c r="T59" s="16">
        <v>0.05</v>
      </c>
      <c r="U59" s="100" t="s">
        <v>190</v>
      </c>
    </row>
    <row r="60" spans="2:21" ht="15.75" customHeight="1" outlineLevel="2" x14ac:dyDescent="0.15">
      <c r="B60" s="117" t="s">
        <v>90</v>
      </c>
      <c r="C60" s="128" t="s">
        <v>161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f t="shared" ref="K60:N60" si="14">J60*(1+K59)</f>
        <v>0</v>
      </c>
      <c r="L60" s="24">
        <v>4</v>
      </c>
      <c r="M60" s="29">
        <f t="shared" si="14"/>
        <v>8</v>
      </c>
      <c r="N60" s="29">
        <f t="shared" si="14"/>
        <v>16</v>
      </c>
      <c r="O60" s="29">
        <f>N60*(1+O59)</f>
        <v>32</v>
      </c>
      <c r="P60" s="29">
        <f>O60*(1+P59)^3</f>
        <v>186.62400000000002</v>
      </c>
      <c r="Q60" s="29">
        <f>P60*(1+Q59)^3</f>
        <v>764.41190400000028</v>
      </c>
      <c r="R60" s="29">
        <f t="shared" ref="R60:S60" si="15">Q60*(1+R59)^3</f>
        <v>1679.4129530880009</v>
      </c>
      <c r="S60" s="29">
        <f t="shared" si="15"/>
        <v>2554.1771750277126</v>
      </c>
      <c r="T60" s="30">
        <f>S60*(1+T59)^12</f>
        <v>4586.9352375548488</v>
      </c>
      <c r="U60" s="100" t="s">
        <v>191</v>
      </c>
    </row>
    <row r="61" spans="2:21" ht="15.75" customHeight="1" outlineLevel="2" x14ac:dyDescent="0.15">
      <c r="B61" s="117" t="s">
        <v>91</v>
      </c>
      <c r="C61" s="128" t="s">
        <v>162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50000</v>
      </c>
      <c r="M61" s="24">
        <v>50000</v>
      </c>
      <c r="N61" s="24">
        <v>50000</v>
      </c>
      <c r="O61" s="24">
        <v>50000</v>
      </c>
      <c r="P61" s="24">
        <v>50000</v>
      </c>
      <c r="Q61" s="24">
        <v>50000</v>
      </c>
      <c r="R61" s="24">
        <v>50000</v>
      </c>
      <c r="S61" s="24">
        <v>50000</v>
      </c>
      <c r="T61" s="24">
        <v>50000</v>
      </c>
      <c r="U61" s="100" t="s">
        <v>192</v>
      </c>
    </row>
    <row r="62" spans="2:21" ht="13" outlineLevel="2" x14ac:dyDescent="0.15">
      <c r="B62" s="117" t="s">
        <v>92</v>
      </c>
      <c r="C62" s="129" t="s">
        <v>16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0.1</v>
      </c>
      <c r="N62" s="16">
        <v>0.2</v>
      </c>
      <c r="O62" s="16">
        <v>0.3</v>
      </c>
      <c r="P62" s="16">
        <v>0.4</v>
      </c>
      <c r="Q62" s="16">
        <v>0.4</v>
      </c>
      <c r="R62" s="16">
        <v>0.4</v>
      </c>
      <c r="S62" s="16">
        <v>0.4</v>
      </c>
      <c r="T62" s="16">
        <v>0.4</v>
      </c>
      <c r="U62" s="98" t="s">
        <v>193</v>
      </c>
    </row>
    <row r="63" spans="2:21" ht="13" outlineLevel="2" x14ac:dyDescent="0.15">
      <c r="B63" s="117" t="s">
        <v>93</v>
      </c>
      <c r="C63" s="128" t="s">
        <v>163</v>
      </c>
      <c r="D63" s="30">
        <f t="shared" ref="D63:T63" si="16">D60*D61*D62</f>
        <v>0</v>
      </c>
      <c r="E63" s="30">
        <f t="shared" si="16"/>
        <v>0</v>
      </c>
      <c r="F63" s="30">
        <f t="shared" si="16"/>
        <v>0</v>
      </c>
      <c r="G63" s="30">
        <f t="shared" si="16"/>
        <v>0</v>
      </c>
      <c r="H63" s="30">
        <f t="shared" si="16"/>
        <v>0</v>
      </c>
      <c r="I63" s="30">
        <f t="shared" si="16"/>
        <v>0</v>
      </c>
      <c r="J63" s="30">
        <f t="shared" si="16"/>
        <v>0</v>
      </c>
      <c r="K63" s="30">
        <f t="shared" si="16"/>
        <v>0</v>
      </c>
      <c r="L63" s="30">
        <f t="shared" si="16"/>
        <v>0</v>
      </c>
      <c r="M63" s="30">
        <f t="shared" si="16"/>
        <v>40000</v>
      </c>
      <c r="N63" s="30">
        <f t="shared" si="16"/>
        <v>160000</v>
      </c>
      <c r="O63" s="30">
        <f t="shared" si="16"/>
        <v>480000</v>
      </c>
      <c r="P63" s="30">
        <f t="shared" si="16"/>
        <v>3732480.0000000009</v>
      </c>
      <c r="Q63" s="30">
        <f t="shared" si="16"/>
        <v>15288238.080000006</v>
      </c>
      <c r="R63" s="30">
        <f t="shared" si="16"/>
        <v>33588259.061760023</v>
      </c>
      <c r="S63" s="30">
        <f t="shared" si="16"/>
        <v>51083543.500554256</v>
      </c>
      <c r="T63" s="30">
        <f t="shared" si="16"/>
        <v>91738704.751096979</v>
      </c>
    </row>
    <row r="64" spans="2:21" ht="13" outlineLevel="2" x14ac:dyDescent="0.15">
      <c r="B64" s="117" t="s">
        <v>94</v>
      </c>
      <c r="C64" s="127" t="s">
        <v>36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0.05</v>
      </c>
      <c r="N64" s="16">
        <v>0.05</v>
      </c>
      <c r="O64" s="16">
        <v>0.05</v>
      </c>
      <c r="P64" s="73">
        <v>7.4999999999999997E-2</v>
      </c>
      <c r="Q64" s="73">
        <v>7.4999999999999997E-2</v>
      </c>
      <c r="R64" s="73">
        <v>7.4999999999999997E-2</v>
      </c>
      <c r="S64" s="73">
        <v>0.1</v>
      </c>
      <c r="T64" s="16">
        <v>0.15</v>
      </c>
      <c r="U64" s="100" t="s">
        <v>194</v>
      </c>
    </row>
    <row r="65" spans="1:41" ht="15.75" customHeight="1" outlineLevel="2" x14ac:dyDescent="0.15">
      <c r="B65" s="117" t="s">
        <v>95</v>
      </c>
      <c r="C65" s="127" t="s">
        <v>37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3</v>
      </c>
      <c r="N65" s="24">
        <v>3</v>
      </c>
      <c r="O65" s="24">
        <v>3</v>
      </c>
      <c r="P65" s="24">
        <v>3</v>
      </c>
      <c r="Q65" s="24">
        <v>3</v>
      </c>
      <c r="R65" s="24">
        <v>3</v>
      </c>
      <c r="S65" s="24">
        <v>3</v>
      </c>
      <c r="T65" s="24">
        <v>3</v>
      </c>
      <c r="U65" s="100" t="s">
        <v>189</v>
      </c>
    </row>
    <row r="66" spans="1:41" ht="15.75" customHeight="1" outlineLevel="2" x14ac:dyDescent="0.15">
      <c r="B66" s="117" t="s">
        <v>88</v>
      </c>
      <c r="C66" s="131" t="s">
        <v>35</v>
      </c>
      <c r="D66" s="25">
        <f t="shared" ref="D66:T66" si="17">+PRODUCT(D63:D65)</f>
        <v>0</v>
      </c>
      <c r="E66" s="25">
        <f t="shared" si="17"/>
        <v>0</v>
      </c>
      <c r="F66" s="25">
        <f t="shared" si="17"/>
        <v>0</v>
      </c>
      <c r="G66" s="25">
        <f t="shared" si="17"/>
        <v>0</v>
      </c>
      <c r="H66" s="25">
        <f t="shared" si="17"/>
        <v>0</v>
      </c>
      <c r="I66" s="25">
        <f t="shared" si="17"/>
        <v>0</v>
      </c>
      <c r="J66" s="25">
        <f t="shared" si="17"/>
        <v>0</v>
      </c>
      <c r="K66" s="25">
        <f t="shared" si="17"/>
        <v>0</v>
      </c>
      <c r="L66" s="25">
        <f t="shared" si="17"/>
        <v>0</v>
      </c>
      <c r="M66" s="25">
        <f t="shared" si="17"/>
        <v>6000</v>
      </c>
      <c r="N66" s="25">
        <f t="shared" si="17"/>
        <v>24000</v>
      </c>
      <c r="O66" s="25">
        <f t="shared" si="17"/>
        <v>72000</v>
      </c>
      <c r="P66" s="25">
        <f t="shared" si="17"/>
        <v>839808.00000000023</v>
      </c>
      <c r="Q66" s="25">
        <f t="shared" si="17"/>
        <v>3439853.5680000009</v>
      </c>
      <c r="R66" s="25">
        <f t="shared" si="17"/>
        <v>7557358.2888960047</v>
      </c>
      <c r="S66" s="25">
        <f t="shared" si="17"/>
        <v>15325063.050166279</v>
      </c>
      <c r="T66" s="25">
        <f t="shared" si="17"/>
        <v>41282417.137993641</v>
      </c>
    </row>
    <row r="67" spans="1:41" ht="15.75" customHeight="1" outlineLevel="1" x14ac:dyDescent="0.15">
      <c r="B67" s="121"/>
      <c r="C67" s="130"/>
    </row>
    <row r="68" spans="1:41" ht="18" outlineLevel="1" x14ac:dyDescent="0.2">
      <c r="B68" s="119" t="s">
        <v>96</v>
      </c>
      <c r="C68" s="130"/>
      <c r="D68" s="20" t="s">
        <v>17</v>
      </c>
      <c r="E68" s="20" t="s">
        <v>18</v>
      </c>
      <c r="F68" s="20" t="s">
        <v>19</v>
      </c>
      <c r="G68" s="20" t="s">
        <v>20</v>
      </c>
      <c r="H68" s="20" t="s">
        <v>21</v>
      </c>
      <c r="I68" s="20" t="s">
        <v>22</v>
      </c>
      <c r="J68" s="20" t="s">
        <v>23</v>
      </c>
      <c r="K68" s="20" t="s">
        <v>24</v>
      </c>
      <c r="L68" s="20" t="s">
        <v>25</v>
      </c>
      <c r="M68" s="20" t="s">
        <v>26</v>
      </c>
      <c r="N68" s="20" t="s">
        <v>27</v>
      </c>
      <c r="O68" s="20" t="s">
        <v>28</v>
      </c>
      <c r="P68" s="20" t="s">
        <v>29</v>
      </c>
      <c r="Q68" s="20" t="s">
        <v>30</v>
      </c>
      <c r="R68" s="20" t="s">
        <v>31</v>
      </c>
      <c r="S68" s="20" t="s">
        <v>32</v>
      </c>
      <c r="T68" s="20" t="s">
        <v>33</v>
      </c>
    </row>
    <row r="69" spans="1:41" ht="15.75" customHeight="1" outlineLevel="1" x14ac:dyDescent="0.15">
      <c r="B69" s="117" t="s">
        <v>97</v>
      </c>
      <c r="C69" s="128" t="s">
        <v>164</v>
      </c>
      <c r="D69" s="29">
        <f t="shared" ref="D69:T69" si="18">(D54*D52)+D63</f>
        <v>0</v>
      </c>
      <c r="E69" s="29">
        <f t="shared" si="18"/>
        <v>0</v>
      </c>
      <c r="F69" s="29">
        <f t="shared" si="18"/>
        <v>0</v>
      </c>
      <c r="G69" s="29">
        <f t="shared" si="18"/>
        <v>0</v>
      </c>
      <c r="H69" s="29">
        <f t="shared" si="18"/>
        <v>0</v>
      </c>
      <c r="I69" s="29">
        <f t="shared" si="18"/>
        <v>0</v>
      </c>
      <c r="J69" s="29">
        <f t="shared" si="18"/>
        <v>0</v>
      </c>
      <c r="K69" s="29">
        <f t="shared" si="18"/>
        <v>0</v>
      </c>
      <c r="L69" s="29">
        <f t="shared" si="18"/>
        <v>0</v>
      </c>
      <c r="M69" s="29">
        <f t="shared" si="18"/>
        <v>290000</v>
      </c>
      <c r="N69" s="29">
        <f t="shared" si="18"/>
        <v>420000</v>
      </c>
      <c r="O69" s="29">
        <f t="shared" si="18"/>
        <v>758200</v>
      </c>
      <c r="P69" s="29">
        <f t="shared" si="18"/>
        <v>4102764.2000000011</v>
      </c>
      <c r="Q69" s="29">
        <f t="shared" si="18"/>
        <v>15781086.350200007</v>
      </c>
      <c r="R69" s="29">
        <f t="shared" si="18"/>
        <v>34244240.109396227</v>
      </c>
      <c r="S69" s="29">
        <f t="shared" si="18"/>
        <v>51956654.274958037</v>
      </c>
      <c r="T69" s="29">
        <f t="shared" si="18"/>
        <v>94478900.381506667</v>
      </c>
      <c r="U69" s="81">
        <f>T69/365000000</f>
        <v>0.25884630241508677</v>
      </c>
      <c r="V69" s="98" t="s">
        <v>202</v>
      </c>
    </row>
    <row r="70" spans="1:41" ht="15.75" customHeight="1" outlineLevel="1" x14ac:dyDescent="0.15">
      <c r="B70" s="117" t="s">
        <v>98</v>
      </c>
      <c r="C70" s="128" t="s">
        <v>165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1</v>
      </c>
      <c r="K70" s="24">
        <v>1</v>
      </c>
      <c r="L70" s="24">
        <v>1</v>
      </c>
      <c r="M70" s="24">
        <v>1</v>
      </c>
      <c r="N70" s="24">
        <v>1</v>
      </c>
      <c r="O70" s="24">
        <v>1</v>
      </c>
      <c r="P70" s="24">
        <v>2</v>
      </c>
      <c r="Q70" s="24">
        <v>3</v>
      </c>
      <c r="R70" s="24">
        <v>3</v>
      </c>
      <c r="S70" s="24">
        <v>3</v>
      </c>
      <c r="T70" s="24">
        <v>4.2650366599999998</v>
      </c>
      <c r="U70" s="98" t="s">
        <v>203</v>
      </c>
    </row>
    <row r="71" spans="1:41" ht="15.75" customHeight="1" outlineLevel="2" x14ac:dyDescent="0.15">
      <c r="B71" s="117" t="s">
        <v>99</v>
      </c>
      <c r="C71" s="128" t="s">
        <v>166</v>
      </c>
      <c r="D71" s="29">
        <f t="shared" ref="D71:S71" si="19">D69*D70</f>
        <v>0</v>
      </c>
      <c r="E71" s="29">
        <f t="shared" si="19"/>
        <v>0</v>
      </c>
      <c r="F71" s="29">
        <f t="shared" si="19"/>
        <v>0</v>
      </c>
      <c r="G71" s="29">
        <f t="shared" si="19"/>
        <v>0</v>
      </c>
      <c r="H71" s="29">
        <f t="shared" si="19"/>
        <v>0</v>
      </c>
      <c r="I71" s="29">
        <f t="shared" si="19"/>
        <v>0</v>
      </c>
      <c r="J71" s="29">
        <f t="shared" si="19"/>
        <v>0</v>
      </c>
      <c r="K71" s="29">
        <f t="shared" si="19"/>
        <v>0</v>
      </c>
      <c r="L71" s="29">
        <f t="shared" si="19"/>
        <v>0</v>
      </c>
      <c r="M71" s="29">
        <f t="shared" si="19"/>
        <v>290000</v>
      </c>
      <c r="N71" s="29">
        <f t="shared" si="19"/>
        <v>420000</v>
      </c>
      <c r="O71" s="29">
        <f t="shared" si="19"/>
        <v>758200</v>
      </c>
      <c r="P71" s="29">
        <f t="shared" si="19"/>
        <v>8205528.4000000022</v>
      </c>
      <c r="Q71" s="29">
        <f t="shared" si="19"/>
        <v>47343259.050600022</v>
      </c>
      <c r="R71" s="29">
        <f t="shared" si="19"/>
        <v>102732720.32818869</v>
      </c>
      <c r="S71" s="29">
        <f t="shared" si="19"/>
        <v>155869962.8248741</v>
      </c>
      <c r="T71" s="29">
        <f>T69*T70</f>
        <v>402955973.72361392</v>
      </c>
    </row>
    <row r="72" spans="1:41" ht="15.75" customHeight="1" outlineLevel="2" x14ac:dyDescent="0.15">
      <c r="B72" s="117" t="s">
        <v>100</v>
      </c>
      <c r="C72" s="127" t="s">
        <v>16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0.05</v>
      </c>
      <c r="O72" s="16">
        <v>0.1</v>
      </c>
      <c r="P72" s="16">
        <v>0.18</v>
      </c>
      <c r="Q72" s="16">
        <v>0.18</v>
      </c>
      <c r="R72" s="16">
        <v>0.18</v>
      </c>
      <c r="S72" s="16">
        <v>0.18</v>
      </c>
      <c r="T72" s="16">
        <v>0.18</v>
      </c>
      <c r="U72" s="98" t="s">
        <v>196</v>
      </c>
    </row>
    <row r="73" spans="1:41" ht="15.75" customHeight="1" outlineLevel="2" x14ac:dyDescent="0.15">
      <c r="B73" s="117" t="s">
        <v>101</v>
      </c>
      <c r="C73" s="128" t="s">
        <v>167</v>
      </c>
      <c r="D73" s="29">
        <f t="shared" ref="D73:T73" si="20">D71*D72</f>
        <v>0</v>
      </c>
      <c r="E73" s="29">
        <f t="shared" si="20"/>
        <v>0</v>
      </c>
      <c r="F73" s="29">
        <f t="shared" si="20"/>
        <v>0</v>
      </c>
      <c r="G73" s="29">
        <f t="shared" si="20"/>
        <v>0</v>
      </c>
      <c r="H73" s="29">
        <f t="shared" si="20"/>
        <v>0</v>
      </c>
      <c r="I73" s="29">
        <f t="shared" si="20"/>
        <v>0</v>
      </c>
      <c r="J73" s="29">
        <f t="shared" si="20"/>
        <v>0</v>
      </c>
      <c r="K73" s="29">
        <f t="shared" si="20"/>
        <v>0</v>
      </c>
      <c r="L73" s="29">
        <f t="shared" si="20"/>
        <v>0</v>
      </c>
      <c r="M73" s="29">
        <f t="shared" si="20"/>
        <v>0</v>
      </c>
      <c r="N73" s="29">
        <f t="shared" si="20"/>
        <v>21000</v>
      </c>
      <c r="O73" s="29">
        <f t="shared" si="20"/>
        <v>75820</v>
      </c>
      <c r="P73" s="29">
        <f t="shared" si="20"/>
        <v>1476995.1120000004</v>
      </c>
      <c r="Q73" s="29">
        <f t="shared" si="20"/>
        <v>8521786.6291080043</v>
      </c>
      <c r="R73" s="29">
        <f t="shared" si="20"/>
        <v>18491889.659073964</v>
      </c>
      <c r="S73" s="29">
        <f t="shared" si="20"/>
        <v>28056593.308477338</v>
      </c>
      <c r="T73" s="29">
        <f t="shared" si="20"/>
        <v>72532075.270250499</v>
      </c>
    </row>
    <row r="74" spans="1:41" ht="13" outlineLevel="2" x14ac:dyDescent="0.15">
      <c r="B74" s="117" t="s">
        <v>102</v>
      </c>
      <c r="C74" s="127" t="s">
        <v>35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50</v>
      </c>
      <c r="O74" s="24">
        <v>50</v>
      </c>
      <c r="P74" s="24">
        <v>50</v>
      </c>
      <c r="Q74" s="24">
        <v>50</v>
      </c>
      <c r="R74" s="24">
        <v>50</v>
      </c>
      <c r="S74" s="24">
        <v>50</v>
      </c>
      <c r="T74" s="24">
        <v>50</v>
      </c>
      <c r="U74" s="98" t="s">
        <v>197</v>
      </c>
    </row>
    <row r="75" spans="1:41" ht="15.75" customHeight="1" outlineLevel="2" x14ac:dyDescent="0.15">
      <c r="B75" s="117" t="s">
        <v>103</v>
      </c>
      <c r="C75" s="127" t="s">
        <v>16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1</v>
      </c>
      <c r="P75" s="16">
        <v>1</v>
      </c>
      <c r="Q75" s="16">
        <v>1</v>
      </c>
      <c r="R75" s="16">
        <v>1</v>
      </c>
      <c r="S75" s="16">
        <v>1</v>
      </c>
      <c r="T75" s="16">
        <v>1</v>
      </c>
      <c r="U75" s="98" t="s">
        <v>199</v>
      </c>
    </row>
    <row r="76" spans="1:41" ht="15.75" customHeight="1" outlineLevel="2" x14ac:dyDescent="0.15">
      <c r="B76" s="117" t="s">
        <v>104</v>
      </c>
      <c r="C76" s="127" t="s">
        <v>16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0.03</v>
      </c>
      <c r="O76" s="16">
        <v>0.03</v>
      </c>
      <c r="P76" s="16">
        <v>0.03</v>
      </c>
      <c r="Q76" s="16">
        <v>0.03</v>
      </c>
      <c r="R76" s="16">
        <v>0.03</v>
      </c>
      <c r="S76" s="16">
        <v>0.03</v>
      </c>
      <c r="T76" s="16">
        <v>0.03</v>
      </c>
      <c r="U76" s="98" t="s">
        <v>199</v>
      </c>
    </row>
    <row r="77" spans="1:41" ht="15.75" customHeight="1" outlineLevel="2" x14ac:dyDescent="0.15">
      <c r="B77" s="117" t="s">
        <v>105</v>
      </c>
      <c r="C77" s="127" t="s">
        <v>35</v>
      </c>
      <c r="D77" s="25">
        <f t="shared" ref="D77:T77" si="21">+PRODUCT(D73:D76)</f>
        <v>0</v>
      </c>
      <c r="E77" s="25">
        <f t="shared" si="21"/>
        <v>0</v>
      </c>
      <c r="F77" s="25">
        <f t="shared" si="21"/>
        <v>0</v>
      </c>
      <c r="G77" s="25">
        <f t="shared" si="21"/>
        <v>0</v>
      </c>
      <c r="H77" s="25">
        <f t="shared" si="21"/>
        <v>0</v>
      </c>
      <c r="I77" s="25">
        <f t="shared" si="21"/>
        <v>0</v>
      </c>
      <c r="J77" s="25">
        <f t="shared" si="21"/>
        <v>0</v>
      </c>
      <c r="K77" s="25">
        <f t="shared" si="21"/>
        <v>0</v>
      </c>
      <c r="L77" s="25">
        <f t="shared" si="21"/>
        <v>0</v>
      </c>
      <c r="M77" s="25">
        <f t="shared" si="21"/>
        <v>0</v>
      </c>
      <c r="N77" s="25">
        <f t="shared" si="21"/>
        <v>31500</v>
      </c>
      <c r="O77" s="25">
        <f t="shared" si="21"/>
        <v>113730</v>
      </c>
      <c r="P77" s="25">
        <f t="shared" si="21"/>
        <v>2215492.6680000005</v>
      </c>
      <c r="Q77" s="25">
        <f t="shared" si="21"/>
        <v>12782679.943662006</v>
      </c>
      <c r="R77" s="25">
        <f t="shared" si="21"/>
        <v>27737834.488610942</v>
      </c>
      <c r="S77" s="25">
        <f t="shared" si="21"/>
        <v>42084889.962716006</v>
      </c>
      <c r="T77" s="25">
        <f t="shared" si="21"/>
        <v>108798112.90537575</v>
      </c>
    </row>
    <row r="78" spans="1:41" ht="15.75" customHeight="1" x14ac:dyDescent="0.15">
      <c r="A78" s="13"/>
      <c r="B78" s="118"/>
      <c r="C78" s="127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</row>
    <row r="79" spans="1:41" ht="15.75" customHeight="1" x14ac:dyDescent="0.2">
      <c r="A79" s="13"/>
      <c r="B79" s="116" t="s">
        <v>107</v>
      </c>
      <c r="C79" s="12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1:41" ht="15.75" customHeight="1" outlineLevel="1" x14ac:dyDescent="0.15">
      <c r="C80" s="127"/>
    </row>
    <row r="81" spans="2:21" ht="15.75" customHeight="1" outlineLevel="1" x14ac:dyDescent="0.2">
      <c r="B81" s="119" t="s">
        <v>81</v>
      </c>
      <c r="C81" s="127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2:21" ht="15.75" customHeight="1" outlineLevel="1" x14ac:dyDescent="0.15">
      <c r="B82" s="120" t="s">
        <v>82</v>
      </c>
      <c r="C82" s="127"/>
      <c r="D82" s="20" t="s">
        <v>17</v>
      </c>
      <c r="E82" s="20" t="s">
        <v>18</v>
      </c>
      <c r="F82" s="20" t="s">
        <v>19</v>
      </c>
      <c r="G82" s="20" t="s">
        <v>20</v>
      </c>
      <c r="H82" s="20" t="s">
        <v>21</v>
      </c>
      <c r="I82" s="20" t="s">
        <v>22</v>
      </c>
      <c r="J82" s="31" t="s">
        <v>23</v>
      </c>
      <c r="K82" s="20" t="s">
        <v>24</v>
      </c>
      <c r="L82" s="20" t="s">
        <v>25</v>
      </c>
      <c r="M82" s="20" t="s">
        <v>26</v>
      </c>
      <c r="N82" s="20" t="s">
        <v>27</v>
      </c>
      <c r="O82" s="20" t="s">
        <v>28</v>
      </c>
      <c r="P82" s="20" t="s">
        <v>29</v>
      </c>
      <c r="Q82" s="20" t="s">
        <v>30</v>
      </c>
      <c r="R82" s="20" t="s">
        <v>31</v>
      </c>
      <c r="S82" s="20" t="s">
        <v>32</v>
      </c>
      <c r="T82" s="20" t="s">
        <v>33</v>
      </c>
    </row>
    <row r="83" spans="2:21" ht="13" outlineLevel="1" x14ac:dyDescent="0.15">
      <c r="B83" s="117" t="s">
        <v>83</v>
      </c>
      <c r="C83" s="127" t="s">
        <v>16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0.1</v>
      </c>
      <c r="P83" s="16">
        <v>0.1</v>
      </c>
      <c r="Q83" s="16">
        <v>0.1</v>
      </c>
      <c r="R83" s="16">
        <v>0.1</v>
      </c>
      <c r="S83" s="16">
        <v>0.1</v>
      </c>
      <c r="T83" s="16">
        <v>0.1</v>
      </c>
      <c r="U83" s="100" t="s">
        <v>204</v>
      </c>
    </row>
    <row r="84" spans="2:21" ht="13" outlineLevel="2" x14ac:dyDescent="0.15">
      <c r="B84" s="117" t="s">
        <v>84</v>
      </c>
      <c r="C84" s="128" t="s">
        <v>159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5</v>
      </c>
      <c r="Q84" s="29">
        <f t="shared" ref="Q84:S84" si="22">P84*(1+Q83)^3</f>
        <v>6.655000000000002</v>
      </c>
      <c r="R84" s="29">
        <f t="shared" si="22"/>
        <v>8.8578050000000061</v>
      </c>
      <c r="S84" s="30">
        <f t="shared" si="22"/>
        <v>11.789738455000013</v>
      </c>
      <c r="T84" s="29">
        <f>S84*(1+T83)^12</f>
        <v>37.001249721290868</v>
      </c>
    </row>
    <row r="85" spans="2:21" ht="17.25" customHeight="1" outlineLevel="2" x14ac:dyDescent="0.15">
      <c r="B85" s="117" t="s">
        <v>85</v>
      </c>
      <c r="C85" s="129" t="s">
        <v>16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0.01</v>
      </c>
      <c r="Q85" s="16">
        <v>0.01</v>
      </c>
      <c r="R85" s="16">
        <v>0.01</v>
      </c>
      <c r="S85" s="16">
        <v>0.01</v>
      </c>
      <c r="T85" s="16">
        <v>0.01</v>
      </c>
      <c r="U85" s="98" t="s">
        <v>200</v>
      </c>
    </row>
    <row r="86" spans="2:21" ht="16.5" customHeight="1" outlineLevel="2" x14ac:dyDescent="0.15">
      <c r="B86" s="117" t="s">
        <v>86</v>
      </c>
      <c r="C86" s="128" t="s">
        <v>160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50000</v>
      </c>
      <c r="Q86" s="24">
        <v>50000</v>
      </c>
      <c r="R86" s="24">
        <v>50000</v>
      </c>
      <c r="S86" s="24">
        <v>50000</v>
      </c>
      <c r="T86" s="24">
        <v>50000</v>
      </c>
      <c r="U86" s="98" t="s">
        <v>201</v>
      </c>
    </row>
    <row r="87" spans="2:21" ht="15.75" customHeight="1" outlineLevel="2" x14ac:dyDescent="0.15">
      <c r="B87" s="117" t="s">
        <v>87</v>
      </c>
      <c r="C87" s="128" t="s">
        <v>34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3</v>
      </c>
      <c r="Q87" s="24">
        <v>3</v>
      </c>
      <c r="R87" s="24">
        <v>3</v>
      </c>
      <c r="S87" s="24">
        <v>3</v>
      </c>
      <c r="T87" s="24">
        <v>3</v>
      </c>
      <c r="U87" s="100" t="s">
        <v>189</v>
      </c>
    </row>
    <row r="88" spans="2:21" ht="15.75" customHeight="1" outlineLevel="2" x14ac:dyDescent="0.15">
      <c r="B88" s="117" t="s">
        <v>88</v>
      </c>
      <c r="C88" s="127" t="s">
        <v>35</v>
      </c>
      <c r="D88" s="25">
        <f t="shared" ref="D88:T88" si="23">+PRODUCT(D84:D87)</f>
        <v>0</v>
      </c>
      <c r="E88" s="25">
        <f t="shared" si="23"/>
        <v>0</v>
      </c>
      <c r="F88" s="25">
        <f t="shared" si="23"/>
        <v>0</v>
      </c>
      <c r="G88" s="25">
        <f t="shared" si="23"/>
        <v>0</v>
      </c>
      <c r="H88" s="25">
        <f t="shared" si="23"/>
        <v>0</v>
      </c>
      <c r="I88" s="25">
        <f t="shared" si="23"/>
        <v>0</v>
      </c>
      <c r="J88" s="25">
        <f t="shared" si="23"/>
        <v>0</v>
      </c>
      <c r="K88" s="25">
        <f t="shared" si="23"/>
        <v>0</v>
      </c>
      <c r="L88" s="25">
        <f t="shared" si="23"/>
        <v>0</v>
      </c>
      <c r="M88" s="25">
        <f t="shared" si="23"/>
        <v>0</v>
      </c>
      <c r="N88" s="25">
        <f t="shared" si="23"/>
        <v>0</v>
      </c>
      <c r="O88" s="25">
        <f t="shared" si="23"/>
        <v>0</v>
      </c>
      <c r="P88" s="25">
        <f t="shared" si="23"/>
        <v>7500</v>
      </c>
      <c r="Q88" s="25">
        <f t="shared" si="23"/>
        <v>9982.5000000000036</v>
      </c>
      <c r="R88" s="25">
        <f t="shared" si="23"/>
        <v>13286.707500000008</v>
      </c>
      <c r="S88" s="25">
        <f t="shared" si="23"/>
        <v>17684.607682500016</v>
      </c>
      <c r="T88" s="25">
        <f t="shared" si="23"/>
        <v>55501.87458193631</v>
      </c>
    </row>
    <row r="89" spans="2:21" ht="15.75" customHeight="1" outlineLevel="1" x14ac:dyDescent="0.15">
      <c r="B89" s="121"/>
      <c r="C89" s="130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2:21" ht="15.75" customHeight="1" outlineLevel="1" x14ac:dyDescent="0.15">
      <c r="B90" s="120" t="s">
        <v>89</v>
      </c>
      <c r="C90" s="127"/>
      <c r="D90" s="20" t="s">
        <v>17</v>
      </c>
      <c r="E90" s="20" t="s">
        <v>18</v>
      </c>
      <c r="F90" s="20" t="s">
        <v>19</v>
      </c>
      <c r="G90" s="20" t="s">
        <v>20</v>
      </c>
      <c r="H90" s="20" t="s">
        <v>21</v>
      </c>
      <c r="I90" s="20" t="s">
        <v>22</v>
      </c>
      <c r="J90" s="20" t="s">
        <v>23</v>
      </c>
      <c r="K90" s="20" t="s">
        <v>24</v>
      </c>
      <c r="L90" s="20" t="s">
        <v>25</v>
      </c>
      <c r="M90" s="20" t="s">
        <v>26</v>
      </c>
      <c r="N90" s="20" t="s">
        <v>27</v>
      </c>
      <c r="O90" s="20" t="s">
        <v>28</v>
      </c>
      <c r="P90" s="20" t="s">
        <v>29</v>
      </c>
      <c r="Q90" s="20" t="s">
        <v>30</v>
      </c>
      <c r="R90" s="20" t="s">
        <v>31</v>
      </c>
      <c r="S90" s="20" t="s">
        <v>32</v>
      </c>
      <c r="T90" s="20" t="s">
        <v>33</v>
      </c>
    </row>
    <row r="91" spans="2:21" ht="15.75" customHeight="1" outlineLevel="1" x14ac:dyDescent="0.15">
      <c r="B91" s="117" t="s">
        <v>83</v>
      </c>
      <c r="C91" s="127" t="s">
        <v>16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1</v>
      </c>
      <c r="R91" s="16">
        <v>0.8</v>
      </c>
      <c r="S91" s="16">
        <v>0.35</v>
      </c>
      <c r="T91" s="16">
        <v>0.1</v>
      </c>
      <c r="U91" s="100" t="s">
        <v>190</v>
      </c>
    </row>
    <row r="92" spans="2:21" ht="15.75" customHeight="1" outlineLevel="2" x14ac:dyDescent="0.15">
      <c r="B92" s="117" t="s">
        <v>90</v>
      </c>
      <c r="C92" s="128" t="s">
        <v>161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10</v>
      </c>
      <c r="Q92" s="29">
        <f t="shared" ref="Q92:S92" si="24">P92*(1+Q91)^3</f>
        <v>80</v>
      </c>
      <c r="R92" s="29">
        <f t="shared" si="24"/>
        <v>466.56000000000006</v>
      </c>
      <c r="S92" s="30">
        <f t="shared" si="24"/>
        <v>1147.9125600000004</v>
      </c>
      <c r="T92" s="30">
        <f>S92*(1+T91)^12</f>
        <v>3602.6413522984517</v>
      </c>
      <c r="U92" s="100" t="s">
        <v>191</v>
      </c>
    </row>
    <row r="93" spans="2:21" ht="15.75" customHeight="1" outlineLevel="2" x14ac:dyDescent="0.15">
      <c r="B93" s="117" t="s">
        <v>91</v>
      </c>
      <c r="C93" s="128" t="s">
        <v>162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75000</v>
      </c>
      <c r="R93" s="24">
        <v>75000</v>
      </c>
      <c r="S93" s="24">
        <v>75000</v>
      </c>
      <c r="T93" s="24">
        <v>75000</v>
      </c>
      <c r="U93" s="100" t="s">
        <v>192</v>
      </c>
    </row>
    <row r="94" spans="2:21" ht="13" outlineLevel="2" x14ac:dyDescent="0.15">
      <c r="B94" s="117" t="s">
        <v>92</v>
      </c>
      <c r="C94" s="129" t="s">
        <v>16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0.2</v>
      </c>
      <c r="R94" s="16">
        <v>0.3</v>
      </c>
      <c r="S94" s="16">
        <v>0.4</v>
      </c>
      <c r="T94" s="16">
        <v>0.4</v>
      </c>
      <c r="U94" s="98" t="s">
        <v>193</v>
      </c>
    </row>
    <row r="95" spans="2:21" ht="15.75" customHeight="1" outlineLevel="2" x14ac:dyDescent="0.15">
      <c r="B95" s="117" t="s">
        <v>93</v>
      </c>
      <c r="C95" s="128" t="s">
        <v>163</v>
      </c>
      <c r="D95" s="24">
        <f t="shared" ref="D95:T95" si="25">D92*D93*D94</f>
        <v>0</v>
      </c>
      <c r="E95" s="24">
        <f t="shared" si="25"/>
        <v>0</v>
      </c>
      <c r="F95" s="24">
        <f t="shared" si="25"/>
        <v>0</v>
      </c>
      <c r="G95" s="24">
        <f t="shared" si="25"/>
        <v>0</v>
      </c>
      <c r="H95" s="24">
        <f t="shared" si="25"/>
        <v>0</v>
      </c>
      <c r="I95" s="24">
        <f t="shared" si="25"/>
        <v>0</v>
      </c>
      <c r="J95" s="24">
        <f t="shared" si="25"/>
        <v>0</v>
      </c>
      <c r="K95" s="24">
        <f t="shared" si="25"/>
        <v>0</v>
      </c>
      <c r="L95" s="24">
        <f t="shared" si="25"/>
        <v>0</v>
      </c>
      <c r="M95" s="24">
        <f t="shared" si="25"/>
        <v>0</v>
      </c>
      <c r="N95" s="24">
        <f t="shared" si="25"/>
        <v>0</v>
      </c>
      <c r="O95" s="24">
        <f t="shared" si="25"/>
        <v>0</v>
      </c>
      <c r="P95" s="24">
        <f t="shared" si="25"/>
        <v>0</v>
      </c>
      <c r="Q95" s="30">
        <f t="shared" si="25"/>
        <v>1200000</v>
      </c>
      <c r="R95" s="30">
        <f t="shared" si="25"/>
        <v>10497600.000000002</v>
      </c>
      <c r="S95" s="30">
        <f t="shared" si="25"/>
        <v>34437376.800000012</v>
      </c>
      <c r="T95" s="30">
        <f t="shared" si="25"/>
        <v>108079240.56895357</v>
      </c>
    </row>
    <row r="96" spans="2:21" ht="13" outlineLevel="2" x14ac:dyDescent="0.15">
      <c r="B96" s="117" t="s">
        <v>94</v>
      </c>
      <c r="C96" s="127" t="s">
        <v>36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73">
        <v>0.1</v>
      </c>
      <c r="R96" s="73">
        <v>0.1</v>
      </c>
      <c r="S96" s="73">
        <v>0.1</v>
      </c>
      <c r="T96" s="16">
        <v>0.1</v>
      </c>
      <c r="U96" s="100" t="s">
        <v>194</v>
      </c>
    </row>
    <row r="97" spans="1:41" ht="15.75" customHeight="1" outlineLevel="2" x14ac:dyDescent="0.15">
      <c r="B97" s="117" t="s">
        <v>95</v>
      </c>
      <c r="C97" s="9" t="s">
        <v>37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3</v>
      </c>
      <c r="R97" s="24">
        <v>3</v>
      </c>
      <c r="S97" s="24">
        <v>3</v>
      </c>
      <c r="T97" s="24">
        <v>3</v>
      </c>
      <c r="U97" s="100" t="s">
        <v>189</v>
      </c>
    </row>
    <row r="98" spans="1:41" ht="15.75" customHeight="1" outlineLevel="2" x14ac:dyDescent="0.15">
      <c r="B98" s="117" t="s">
        <v>88</v>
      </c>
      <c r="C98" s="75" t="s">
        <v>35</v>
      </c>
      <c r="D98" s="25">
        <f t="shared" ref="D98:T98" si="26">+PRODUCT(D95:D97)</f>
        <v>0</v>
      </c>
      <c r="E98" s="25">
        <f t="shared" si="26"/>
        <v>0</v>
      </c>
      <c r="F98" s="25">
        <f t="shared" si="26"/>
        <v>0</v>
      </c>
      <c r="G98" s="25">
        <f t="shared" si="26"/>
        <v>0</v>
      </c>
      <c r="H98" s="25">
        <f t="shared" si="26"/>
        <v>0</v>
      </c>
      <c r="I98" s="25">
        <f t="shared" si="26"/>
        <v>0</v>
      </c>
      <c r="J98" s="25">
        <f t="shared" si="26"/>
        <v>0</v>
      </c>
      <c r="K98" s="25">
        <f t="shared" si="26"/>
        <v>0</v>
      </c>
      <c r="L98" s="25">
        <f t="shared" si="26"/>
        <v>0</v>
      </c>
      <c r="M98" s="25">
        <f t="shared" si="26"/>
        <v>0</v>
      </c>
      <c r="N98" s="25">
        <f t="shared" si="26"/>
        <v>0</v>
      </c>
      <c r="O98" s="25">
        <f t="shared" si="26"/>
        <v>0</v>
      </c>
      <c r="P98" s="25">
        <f t="shared" si="26"/>
        <v>0</v>
      </c>
      <c r="Q98" s="25">
        <f t="shared" si="26"/>
        <v>360000</v>
      </c>
      <c r="R98" s="25">
        <f t="shared" si="26"/>
        <v>3149280.0000000009</v>
      </c>
      <c r="S98" s="25">
        <f t="shared" si="26"/>
        <v>10331213.040000005</v>
      </c>
      <c r="T98" s="25">
        <f t="shared" si="26"/>
        <v>32423772.170686074</v>
      </c>
    </row>
    <row r="99" spans="1:41" ht="15.75" customHeight="1" outlineLevel="1" x14ac:dyDescent="0.15">
      <c r="B99" s="121"/>
    </row>
    <row r="100" spans="1:41" ht="18" outlineLevel="1" x14ac:dyDescent="0.2">
      <c r="B100" s="119" t="s">
        <v>96</v>
      </c>
      <c r="D100" s="20" t="s">
        <v>17</v>
      </c>
      <c r="E100" s="20" t="s">
        <v>18</v>
      </c>
      <c r="F100" s="20" t="s">
        <v>19</v>
      </c>
      <c r="G100" s="20" t="s">
        <v>20</v>
      </c>
      <c r="H100" s="20" t="s">
        <v>21</v>
      </c>
      <c r="I100" s="20" t="s">
        <v>22</v>
      </c>
      <c r="J100" s="20" t="s">
        <v>23</v>
      </c>
      <c r="K100" s="20" t="s">
        <v>24</v>
      </c>
      <c r="L100" s="20" t="s">
        <v>25</v>
      </c>
      <c r="M100" s="20" t="s">
        <v>26</v>
      </c>
      <c r="N100" s="20" t="s">
        <v>27</v>
      </c>
      <c r="O100" s="20" t="s">
        <v>28</v>
      </c>
      <c r="P100" s="20" t="s">
        <v>29</v>
      </c>
      <c r="Q100" s="20" t="s">
        <v>30</v>
      </c>
      <c r="R100" s="20" t="s">
        <v>31</v>
      </c>
      <c r="S100" s="20" t="s">
        <v>32</v>
      </c>
      <c r="T100" s="20" t="s">
        <v>33</v>
      </c>
    </row>
    <row r="101" spans="1:41" ht="15.75" customHeight="1" outlineLevel="1" x14ac:dyDescent="0.15">
      <c r="B101" s="117" t="s">
        <v>97</v>
      </c>
      <c r="C101" s="101" t="s">
        <v>164</v>
      </c>
      <c r="D101" s="29">
        <f t="shared" ref="D101:T101" si="27">(D86*D84)+D95</f>
        <v>0</v>
      </c>
      <c r="E101" s="29">
        <f t="shared" si="27"/>
        <v>0</v>
      </c>
      <c r="F101" s="29">
        <f t="shared" si="27"/>
        <v>0</v>
      </c>
      <c r="G101" s="29">
        <f t="shared" si="27"/>
        <v>0</v>
      </c>
      <c r="H101" s="29">
        <f t="shared" si="27"/>
        <v>0</v>
      </c>
      <c r="I101" s="29">
        <f t="shared" si="27"/>
        <v>0</v>
      </c>
      <c r="J101" s="29">
        <f t="shared" si="27"/>
        <v>0</v>
      </c>
      <c r="K101" s="29">
        <f t="shared" si="27"/>
        <v>0</v>
      </c>
      <c r="L101" s="29">
        <f t="shared" si="27"/>
        <v>0</v>
      </c>
      <c r="M101" s="29">
        <f t="shared" si="27"/>
        <v>0</v>
      </c>
      <c r="N101" s="29">
        <f t="shared" si="27"/>
        <v>0</v>
      </c>
      <c r="O101" s="29">
        <f t="shared" si="27"/>
        <v>0</v>
      </c>
      <c r="P101" s="29">
        <f t="shared" si="27"/>
        <v>250000</v>
      </c>
      <c r="Q101" s="29">
        <f t="shared" si="27"/>
        <v>1532750</v>
      </c>
      <c r="R101" s="29">
        <f t="shared" si="27"/>
        <v>10940490.250000002</v>
      </c>
      <c r="S101" s="29">
        <f t="shared" si="27"/>
        <v>35026863.722750016</v>
      </c>
      <c r="T101" s="29">
        <f t="shared" si="27"/>
        <v>109929303.05501811</v>
      </c>
      <c r="U101" s="81">
        <f>T101/1366000000</f>
        <v>8.0475331665459823E-2</v>
      </c>
      <c r="V101" s="98" t="s">
        <v>205</v>
      </c>
    </row>
    <row r="102" spans="1:41" ht="15.75" customHeight="1" outlineLevel="1" x14ac:dyDescent="0.15">
      <c r="B102" s="117" t="s">
        <v>98</v>
      </c>
      <c r="C102" s="101" t="s">
        <v>165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1</v>
      </c>
      <c r="O102" s="24">
        <v>1</v>
      </c>
      <c r="P102" s="24">
        <v>1</v>
      </c>
      <c r="Q102" s="24">
        <v>1</v>
      </c>
      <c r="R102" s="24">
        <v>2</v>
      </c>
      <c r="S102" s="24">
        <v>2</v>
      </c>
      <c r="T102" s="24">
        <v>3</v>
      </c>
    </row>
    <row r="103" spans="1:41" ht="15.75" customHeight="1" outlineLevel="2" x14ac:dyDescent="0.15">
      <c r="B103" s="117" t="s">
        <v>99</v>
      </c>
      <c r="C103" s="101" t="s">
        <v>166</v>
      </c>
      <c r="D103" s="29">
        <f t="shared" ref="D103:T103" si="28">D101*D102</f>
        <v>0</v>
      </c>
      <c r="E103" s="29">
        <f t="shared" si="28"/>
        <v>0</v>
      </c>
      <c r="F103" s="29">
        <f t="shared" si="28"/>
        <v>0</v>
      </c>
      <c r="G103" s="29">
        <f t="shared" si="28"/>
        <v>0</v>
      </c>
      <c r="H103" s="29">
        <f t="shared" si="28"/>
        <v>0</v>
      </c>
      <c r="I103" s="29">
        <f t="shared" si="28"/>
        <v>0</v>
      </c>
      <c r="J103" s="29">
        <f t="shared" si="28"/>
        <v>0</v>
      </c>
      <c r="K103" s="29">
        <f t="shared" si="28"/>
        <v>0</v>
      </c>
      <c r="L103" s="29">
        <f t="shared" si="28"/>
        <v>0</v>
      </c>
      <c r="M103" s="29">
        <f t="shared" si="28"/>
        <v>0</v>
      </c>
      <c r="N103" s="29">
        <f t="shared" si="28"/>
        <v>0</v>
      </c>
      <c r="O103" s="29">
        <f t="shared" si="28"/>
        <v>0</v>
      </c>
      <c r="P103" s="29">
        <f t="shared" si="28"/>
        <v>250000</v>
      </c>
      <c r="Q103" s="29">
        <f t="shared" si="28"/>
        <v>1532750</v>
      </c>
      <c r="R103" s="29">
        <f t="shared" si="28"/>
        <v>21880980.500000004</v>
      </c>
      <c r="S103" s="29">
        <f t="shared" si="28"/>
        <v>70053727.445500031</v>
      </c>
      <c r="T103" s="29">
        <f t="shared" si="28"/>
        <v>329787909.16505432</v>
      </c>
    </row>
    <row r="104" spans="1:41" ht="13" outlineLevel="2" x14ac:dyDescent="0.15">
      <c r="B104" s="117" t="s">
        <v>100</v>
      </c>
      <c r="C104" s="9" t="s">
        <v>16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0.1</v>
      </c>
      <c r="O104" s="16">
        <v>0.12</v>
      </c>
      <c r="P104" s="16">
        <v>0.15</v>
      </c>
      <c r="Q104" s="16">
        <v>0.15</v>
      </c>
      <c r="R104" s="16">
        <v>0.18</v>
      </c>
      <c r="S104" s="16">
        <v>0.18</v>
      </c>
      <c r="T104" s="16">
        <v>0.18</v>
      </c>
      <c r="U104" s="98" t="s">
        <v>196</v>
      </c>
    </row>
    <row r="105" spans="1:41" ht="15.75" customHeight="1" outlineLevel="2" x14ac:dyDescent="0.15">
      <c r="B105" s="117" t="s">
        <v>101</v>
      </c>
      <c r="C105" s="101" t="s">
        <v>167</v>
      </c>
      <c r="D105" s="29">
        <f t="shared" ref="D105:T105" si="29">D103*D104</f>
        <v>0</v>
      </c>
      <c r="E105" s="29">
        <f t="shared" si="29"/>
        <v>0</v>
      </c>
      <c r="F105" s="29">
        <f t="shared" si="29"/>
        <v>0</v>
      </c>
      <c r="G105" s="29">
        <f t="shared" si="29"/>
        <v>0</v>
      </c>
      <c r="H105" s="29">
        <f t="shared" si="29"/>
        <v>0</v>
      </c>
      <c r="I105" s="29">
        <f t="shared" si="29"/>
        <v>0</v>
      </c>
      <c r="J105" s="29">
        <f t="shared" si="29"/>
        <v>0</v>
      </c>
      <c r="K105" s="29">
        <f t="shared" si="29"/>
        <v>0</v>
      </c>
      <c r="L105" s="29">
        <f t="shared" si="29"/>
        <v>0</v>
      </c>
      <c r="M105" s="29">
        <f t="shared" si="29"/>
        <v>0</v>
      </c>
      <c r="N105" s="29">
        <f t="shared" si="29"/>
        <v>0</v>
      </c>
      <c r="O105" s="29">
        <f t="shared" si="29"/>
        <v>0</v>
      </c>
      <c r="P105" s="29">
        <f t="shared" si="29"/>
        <v>37500</v>
      </c>
      <c r="Q105" s="29">
        <f t="shared" si="29"/>
        <v>229912.5</v>
      </c>
      <c r="R105" s="29">
        <f t="shared" si="29"/>
        <v>3938576.4900000007</v>
      </c>
      <c r="S105" s="29">
        <f t="shared" si="29"/>
        <v>12609670.940190006</v>
      </c>
      <c r="T105" s="29">
        <f t="shared" si="29"/>
        <v>59361823.649709776</v>
      </c>
    </row>
    <row r="106" spans="1:41" ht="13" outlineLevel="2" x14ac:dyDescent="0.15">
      <c r="B106" s="117" t="s">
        <v>102</v>
      </c>
      <c r="C106" s="9" t="s">
        <v>35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17</v>
      </c>
      <c r="O106" s="24">
        <v>17</v>
      </c>
      <c r="P106" s="24">
        <v>17</v>
      </c>
      <c r="Q106" s="24">
        <v>17</v>
      </c>
      <c r="R106" s="24">
        <v>17</v>
      </c>
      <c r="S106" s="24">
        <v>17</v>
      </c>
      <c r="T106" s="24">
        <v>17</v>
      </c>
      <c r="U106" s="98" t="s">
        <v>206</v>
      </c>
    </row>
    <row r="107" spans="1:41" ht="15.75" customHeight="1" outlineLevel="2" x14ac:dyDescent="0.15">
      <c r="B107" s="117" t="s">
        <v>103</v>
      </c>
      <c r="C107" s="9" t="s">
        <v>16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1</v>
      </c>
      <c r="P107" s="16">
        <v>1</v>
      </c>
      <c r="Q107" s="16">
        <v>1</v>
      </c>
      <c r="R107" s="16">
        <v>1</v>
      </c>
      <c r="S107" s="16">
        <v>1</v>
      </c>
      <c r="T107" s="16">
        <v>1</v>
      </c>
      <c r="U107" s="98" t="s">
        <v>199</v>
      </c>
    </row>
    <row r="108" spans="1:41" ht="15.75" customHeight="1" outlineLevel="2" x14ac:dyDescent="0.15">
      <c r="B108" s="117" t="s">
        <v>104</v>
      </c>
      <c r="C108" s="9" t="s">
        <v>16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0.03</v>
      </c>
      <c r="O108" s="16">
        <v>0.03</v>
      </c>
      <c r="P108" s="16">
        <v>0.03</v>
      </c>
      <c r="Q108" s="16">
        <v>0.03</v>
      </c>
      <c r="R108" s="16">
        <v>0.03</v>
      </c>
      <c r="S108" s="16">
        <v>0.03</v>
      </c>
      <c r="T108" s="16">
        <v>0.03</v>
      </c>
      <c r="U108" s="98" t="s">
        <v>199</v>
      </c>
    </row>
    <row r="109" spans="1:41" ht="15.75" customHeight="1" outlineLevel="2" x14ac:dyDescent="0.15">
      <c r="B109" s="117" t="s">
        <v>105</v>
      </c>
      <c r="C109" s="9" t="s">
        <v>35</v>
      </c>
      <c r="D109" s="25">
        <f t="shared" ref="D109:T109" si="30">+PRODUCT(D105:D108)</f>
        <v>0</v>
      </c>
      <c r="E109" s="25">
        <f t="shared" si="30"/>
        <v>0</v>
      </c>
      <c r="F109" s="25">
        <f t="shared" si="30"/>
        <v>0</v>
      </c>
      <c r="G109" s="25">
        <f t="shared" si="30"/>
        <v>0</v>
      </c>
      <c r="H109" s="25">
        <f t="shared" si="30"/>
        <v>0</v>
      </c>
      <c r="I109" s="25">
        <f t="shared" si="30"/>
        <v>0</v>
      </c>
      <c r="J109" s="25">
        <f t="shared" si="30"/>
        <v>0</v>
      </c>
      <c r="K109" s="25">
        <f t="shared" si="30"/>
        <v>0</v>
      </c>
      <c r="L109" s="25">
        <f t="shared" si="30"/>
        <v>0</v>
      </c>
      <c r="M109" s="25">
        <f t="shared" si="30"/>
        <v>0</v>
      </c>
      <c r="N109" s="25">
        <f t="shared" si="30"/>
        <v>0</v>
      </c>
      <c r="O109" s="25">
        <f t="shared" si="30"/>
        <v>0</v>
      </c>
      <c r="P109" s="25">
        <f t="shared" si="30"/>
        <v>19125</v>
      </c>
      <c r="Q109" s="25">
        <f t="shared" si="30"/>
        <v>117255.375</v>
      </c>
      <c r="R109" s="25">
        <f t="shared" si="30"/>
        <v>2008674.0099000004</v>
      </c>
      <c r="S109" s="25">
        <f t="shared" si="30"/>
        <v>6430932.179496903</v>
      </c>
      <c r="T109" s="25">
        <f t="shared" si="30"/>
        <v>30274530.061351985</v>
      </c>
    </row>
    <row r="110" spans="1:41" ht="15.75" customHeight="1" outlineLevel="2" x14ac:dyDescent="0.15">
      <c r="B110" s="121"/>
      <c r="C110" s="9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</row>
    <row r="111" spans="1:41" ht="15.75" customHeight="1" x14ac:dyDescent="0.2">
      <c r="A111" s="13"/>
      <c r="B111" s="116" t="s">
        <v>108</v>
      </c>
      <c r="C111" s="88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1" ht="15.75" customHeight="1" outlineLevel="1" x14ac:dyDescent="0.15">
      <c r="C112" s="9"/>
    </row>
    <row r="113" spans="2:21" ht="15.75" customHeight="1" outlineLevel="1" x14ac:dyDescent="0.15">
      <c r="B113" s="120" t="s">
        <v>109</v>
      </c>
      <c r="C113" s="9"/>
      <c r="D113" s="20" t="s">
        <v>17</v>
      </c>
      <c r="E113" s="20" t="s">
        <v>18</v>
      </c>
      <c r="F113" s="20" t="s">
        <v>19</v>
      </c>
      <c r="G113" s="20" t="s">
        <v>20</v>
      </c>
      <c r="H113" s="20" t="s">
        <v>21</v>
      </c>
      <c r="I113" s="20" t="s">
        <v>22</v>
      </c>
      <c r="J113" s="31" t="s">
        <v>23</v>
      </c>
      <c r="K113" s="20" t="s">
        <v>24</v>
      </c>
      <c r="L113" s="20" t="s">
        <v>25</v>
      </c>
      <c r="M113" s="20" t="s">
        <v>26</v>
      </c>
      <c r="N113" s="20" t="s">
        <v>27</v>
      </c>
      <c r="O113" s="20" t="s">
        <v>28</v>
      </c>
      <c r="P113" s="20" t="s">
        <v>29</v>
      </c>
      <c r="Q113" s="20" t="s">
        <v>30</v>
      </c>
      <c r="R113" s="20" t="s">
        <v>31</v>
      </c>
      <c r="S113" s="20" t="s">
        <v>32</v>
      </c>
      <c r="T113" s="20" t="s">
        <v>33</v>
      </c>
    </row>
    <row r="114" spans="2:21" ht="13" outlineLevel="2" x14ac:dyDescent="0.15">
      <c r="B114" s="117" t="s">
        <v>110</v>
      </c>
      <c r="C114" s="9" t="s">
        <v>16</v>
      </c>
      <c r="D114" s="79">
        <v>0.33333333333333331</v>
      </c>
      <c r="E114" s="79">
        <v>0.33333333333333331</v>
      </c>
      <c r="F114" s="79">
        <v>0.33333333333333331</v>
      </c>
      <c r="G114" s="79">
        <v>0.33333333333333331</v>
      </c>
      <c r="H114" s="79">
        <v>0.33333333333333331</v>
      </c>
      <c r="I114" s="79">
        <v>0.33333333333333331</v>
      </c>
      <c r="J114" s="79">
        <v>0.33333333333333331</v>
      </c>
      <c r="K114" s="79">
        <v>0.33333333333333331</v>
      </c>
      <c r="L114" s="79">
        <v>0.33333333333333331</v>
      </c>
      <c r="M114" s="79">
        <v>0.33333333333333331</v>
      </c>
      <c r="N114" s="79">
        <v>0.33333333333333331</v>
      </c>
      <c r="O114" s="79">
        <v>0.33333333333333331</v>
      </c>
      <c r="P114" s="79">
        <v>0.33333333333333331</v>
      </c>
      <c r="Q114" s="79">
        <v>0.33333333333333331</v>
      </c>
      <c r="R114" s="79">
        <v>0.33333333333333331</v>
      </c>
      <c r="S114" s="79">
        <v>0.33333333333333331</v>
      </c>
      <c r="T114" s="79">
        <v>0.33333333333333331</v>
      </c>
      <c r="U114" s="98" t="s">
        <v>199</v>
      </c>
    </row>
    <row r="115" spans="2:21" ht="13" outlineLevel="2" x14ac:dyDescent="0.15">
      <c r="B115" s="117" t="s">
        <v>110</v>
      </c>
      <c r="C115" s="9" t="s">
        <v>35</v>
      </c>
      <c r="D115" s="33">
        <f>D45*D114</f>
        <v>0</v>
      </c>
      <c r="E115" s="33">
        <f t="shared" ref="E115:S115" si="31">E45*E114</f>
        <v>0</v>
      </c>
      <c r="F115" s="33">
        <f t="shared" si="31"/>
        <v>0</v>
      </c>
      <c r="G115" s="33">
        <f t="shared" si="31"/>
        <v>0</v>
      </c>
      <c r="H115" s="33">
        <f t="shared" si="31"/>
        <v>0</v>
      </c>
      <c r="I115" s="33">
        <f t="shared" si="31"/>
        <v>0</v>
      </c>
      <c r="J115" s="33">
        <f t="shared" si="31"/>
        <v>0</v>
      </c>
      <c r="K115" s="33">
        <f t="shared" si="31"/>
        <v>0</v>
      </c>
      <c r="L115" s="33">
        <f t="shared" si="31"/>
        <v>0</v>
      </c>
      <c r="M115" s="33">
        <f t="shared" si="31"/>
        <v>1608.0204941289394</v>
      </c>
      <c r="N115" s="33">
        <f t="shared" si="31"/>
        <v>3391.9899330230373</v>
      </c>
      <c r="O115" s="33">
        <f t="shared" si="31"/>
        <v>5496.1406782510257</v>
      </c>
      <c r="P115" s="33">
        <f t="shared" si="31"/>
        <v>21790.895954582775</v>
      </c>
      <c r="Q115" s="33">
        <f t="shared" si="31"/>
        <v>57182.760286259567</v>
      </c>
      <c r="R115" s="33">
        <f t="shared" si="31"/>
        <v>173982.75624488533</v>
      </c>
      <c r="S115" s="33">
        <f t="shared" si="31"/>
        <v>401079.08633536455</v>
      </c>
      <c r="T115" s="33">
        <f>T45*T114</f>
        <v>3093496.5350401942</v>
      </c>
    </row>
    <row r="116" spans="2:21" ht="13" outlineLevel="2" x14ac:dyDescent="0.15">
      <c r="B116" s="117" t="s">
        <v>111</v>
      </c>
      <c r="C116" s="9" t="s">
        <v>16</v>
      </c>
      <c r="D116" s="79">
        <v>0.33333333333333331</v>
      </c>
      <c r="E116" s="79">
        <v>0.33333333333333331</v>
      </c>
      <c r="F116" s="79">
        <v>0.33333333333333331</v>
      </c>
      <c r="G116" s="79">
        <v>0.33333333333333331</v>
      </c>
      <c r="H116" s="79">
        <v>0.33333333333333331</v>
      </c>
      <c r="I116" s="79">
        <v>0.33333333333333331</v>
      </c>
      <c r="J116" s="79">
        <v>0.33333333333333331</v>
      </c>
      <c r="K116" s="79">
        <v>0.33333333333333331</v>
      </c>
      <c r="L116" s="79">
        <v>0.33333333333333331</v>
      </c>
      <c r="M116" s="79">
        <v>0.33333333333333331</v>
      </c>
      <c r="N116" s="79">
        <v>0.33333333333333331</v>
      </c>
      <c r="O116" s="79">
        <v>0.33333333333333331</v>
      </c>
      <c r="P116" s="79">
        <v>0.33333333333333331</v>
      </c>
      <c r="Q116" s="79">
        <v>0.33333333333333331</v>
      </c>
      <c r="R116" s="79">
        <v>0.33333333333333331</v>
      </c>
      <c r="S116" s="79">
        <v>0.33333333333333331</v>
      </c>
      <c r="T116" s="79">
        <v>0.33333333333333331</v>
      </c>
      <c r="U116" s="98" t="s">
        <v>199</v>
      </c>
    </row>
    <row r="117" spans="2:21" ht="13" outlineLevel="2" x14ac:dyDescent="0.15">
      <c r="B117" s="117" t="s">
        <v>111</v>
      </c>
      <c r="C117" s="9" t="s">
        <v>35</v>
      </c>
      <c r="D117" s="33">
        <f t="shared" ref="D117:T117" si="32">D45*D116</f>
        <v>0</v>
      </c>
      <c r="E117" s="33">
        <f t="shared" si="32"/>
        <v>0</v>
      </c>
      <c r="F117" s="33">
        <f t="shared" si="32"/>
        <v>0</v>
      </c>
      <c r="G117" s="33">
        <f t="shared" si="32"/>
        <v>0</v>
      </c>
      <c r="H117" s="33">
        <f t="shared" si="32"/>
        <v>0</v>
      </c>
      <c r="I117" s="33">
        <f t="shared" si="32"/>
        <v>0</v>
      </c>
      <c r="J117" s="33">
        <f t="shared" si="32"/>
        <v>0</v>
      </c>
      <c r="K117" s="33">
        <f t="shared" si="32"/>
        <v>0</v>
      </c>
      <c r="L117" s="33">
        <f t="shared" si="32"/>
        <v>0</v>
      </c>
      <c r="M117" s="33">
        <f t="shared" si="32"/>
        <v>1608.0204941289394</v>
      </c>
      <c r="N117" s="33">
        <f t="shared" si="32"/>
        <v>3391.9899330230373</v>
      </c>
      <c r="O117" s="33">
        <f t="shared" si="32"/>
        <v>5496.1406782510257</v>
      </c>
      <c r="P117" s="33">
        <f t="shared" si="32"/>
        <v>21790.895954582775</v>
      </c>
      <c r="Q117" s="33">
        <f t="shared" si="32"/>
        <v>57182.760286259567</v>
      </c>
      <c r="R117" s="33">
        <f t="shared" si="32"/>
        <v>173982.75624488533</v>
      </c>
      <c r="S117" s="33">
        <f t="shared" si="32"/>
        <v>401079.08633536455</v>
      </c>
      <c r="T117" s="33">
        <f t="shared" si="32"/>
        <v>3093496.5350401942</v>
      </c>
    </row>
    <row r="118" spans="2:21" ht="15.75" customHeight="1" outlineLevel="1" x14ac:dyDescent="0.15">
      <c r="B118" s="123"/>
      <c r="C118" s="9"/>
    </row>
    <row r="119" spans="2:21" ht="15.75" customHeight="1" outlineLevel="1" x14ac:dyDescent="0.15">
      <c r="C119" s="9"/>
    </row>
    <row r="120" spans="2:21" ht="15.75" customHeight="1" outlineLevel="1" x14ac:dyDescent="0.15">
      <c r="B120" s="120" t="s">
        <v>112</v>
      </c>
      <c r="C120" s="9"/>
      <c r="D120" s="20" t="s">
        <v>17</v>
      </c>
      <c r="E120" s="20" t="s">
        <v>18</v>
      </c>
      <c r="F120" s="20" t="s">
        <v>19</v>
      </c>
      <c r="G120" s="20" t="s">
        <v>20</v>
      </c>
      <c r="H120" s="20" t="s">
        <v>21</v>
      </c>
      <c r="I120" s="20" t="s">
        <v>22</v>
      </c>
      <c r="J120" s="20" t="s">
        <v>23</v>
      </c>
      <c r="K120" s="20" t="s">
        <v>24</v>
      </c>
      <c r="L120" s="20" t="s">
        <v>25</v>
      </c>
      <c r="M120" s="20" t="s">
        <v>26</v>
      </c>
      <c r="N120" s="20" t="s">
        <v>27</v>
      </c>
      <c r="O120" s="20" t="s">
        <v>28</v>
      </c>
      <c r="P120" s="20" t="s">
        <v>29</v>
      </c>
      <c r="Q120" s="20" t="s">
        <v>30</v>
      </c>
      <c r="R120" s="20" t="s">
        <v>31</v>
      </c>
      <c r="S120" s="20" t="s">
        <v>32</v>
      </c>
      <c r="T120" s="20" t="s">
        <v>33</v>
      </c>
    </row>
    <row r="121" spans="2:21" ht="15.75" customHeight="1" outlineLevel="2" x14ac:dyDescent="0.15">
      <c r="B121" s="117" t="s">
        <v>113</v>
      </c>
      <c r="C121" s="9" t="s">
        <v>35</v>
      </c>
      <c r="D121" s="24">
        <v>3000</v>
      </c>
      <c r="E121" s="24">
        <v>3000</v>
      </c>
      <c r="F121" s="24">
        <v>3000</v>
      </c>
      <c r="G121" s="24">
        <v>3000</v>
      </c>
      <c r="H121" s="24">
        <v>3000</v>
      </c>
      <c r="I121" s="24">
        <v>3000</v>
      </c>
      <c r="J121" s="24">
        <v>3000</v>
      </c>
      <c r="K121" s="24">
        <v>3000</v>
      </c>
      <c r="L121" s="24">
        <v>3000</v>
      </c>
      <c r="M121" s="24">
        <v>3000</v>
      </c>
      <c r="N121" s="24">
        <v>3000</v>
      </c>
      <c r="O121" s="24">
        <v>3000</v>
      </c>
      <c r="P121" s="30">
        <f>O121*3</f>
        <v>9000</v>
      </c>
      <c r="Q121" s="30">
        <f>O121*3</f>
        <v>9000</v>
      </c>
      <c r="R121" s="30">
        <f>O121*3</f>
        <v>9000</v>
      </c>
      <c r="S121" s="30">
        <f>O121*3</f>
        <v>9000</v>
      </c>
      <c r="T121" s="30">
        <f>O121*12</f>
        <v>36000</v>
      </c>
      <c r="U121" s="100" t="s">
        <v>207</v>
      </c>
    </row>
    <row r="122" spans="2:21" ht="15.75" customHeight="1" outlineLevel="1" x14ac:dyDescent="0.15">
      <c r="C122" s="9"/>
    </row>
    <row r="123" spans="2:21" ht="15.75" customHeight="1" outlineLevel="1" x14ac:dyDescent="0.15">
      <c r="C123" s="9"/>
      <c r="U123" s="13"/>
    </row>
    <row r="124" spans="2:21" ht="15.75" customHeight="1" outlineLevel="2" x14ac:dyDescent="0.15">
      <c r="B124" s="120" t="s">
        <v>114</v>
      </c>
      <c r="C124" s="9"/>
      <c r="D124" s="20" t="s">
        <v>17</v>
      </c>
      <c r="E124" s="20" t="s">
        <v>18</v>
      </c>
      <c r="F124" s="20" t="s">
        <v>19</v>
      </c>
      <c r="G124" s="20" t="s">
        <v>20</v>
      </c>
      <c r="H124" s="20" t="s">
        <v>21</v>
      </c>
      <c r="I124" s="20" t="s">
        <v>22</v>
      </c>
      <c r="J124" s="20" t="s">
        <v>23</v>
      </c>
      <c r="K124" s="20" t="s">
        <v>24</v>
      </c>
      <c r="L124" s="20" t="s">
        <v>25</v>
      </c>
      <c r="M124" s="20" t="s">
        <v>26</v>
      </c>
      <c r="N124" s="20" t="s">
        <v>27</v>
      </c>
      <c r="O124" s="20" t="s">
        <v>28</v>
      </c>
      <c r="P124" s="20" t="s">
        <v>29</v>
      </c>
      <c r="Q124" s="20" t="s">
        <v>30</v>
      </c>
      <c r="R124" s="20" t="s">
        <v>31</v>
      </c>
      <c r="S124" s="20" t="s">
        <v>32</v>
      </c>
      <c r="T124" s="20" t="s">
        <v>33</v>
      </c>
    </row>
    <row r="125" spans="2:21" ht="15.75" customHeight="1" outlineLevel="2" x14ac:dyDescent="0.15">
      <c r="B125" s="117" t="s">
        <v>115</v>
      </c>
      <c r="C125" s="9" t="s">
        <v>35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30">
        <f>L125*3</f>
        <v>0</v>
      </c>
      <c r="Q125" s="30">
        <f>L125*3</f>
        <v>0</v>
      </c>
      <c r="R125" s="30">
        <f>L125*3</f>
        <v>0</v>
      </c>
      <c r="S125" s="30">
        <f>L125*3</f>
        <v>0</v>
      </c>
      <c r="T125" s="30">
        <f>L125*12</f>
        <v>0</v>
      </c>
      <c r="U125" s="98" t="s">
        <v>208</v>
      </c>
    </row>
    <row r="126" spans="2:21" ht="15.75" customHeight="1" outlineLevel="2" x14ac:dyDescent="0.15">
      <c r="B126" s="117" t="s">
        <v>116</v>
      </c>
      <c r="C126" s="9" t="s">
        <v>35</v>
      </c>
      <c r="D126" s="34">
        <v>0</v>
      </c>
      <c r="E126" s="34">
        <f t="shared" ref="E126:O126" si="33">500*3</f>
        <v>1500</v>
      </c>
      <c r="F126" s="34">
        <f t="shared" si="33"/>
        <v>1500</v>
      </c>
      <c r="G126" s="34">
        <f t="shared" si="33"/>
        <v>1500</v>
      </c>
      <c r="H126" s="34">
        <f t="shared" si="33"/>
        <v>1500</v>
      </c>
      <c r="I126" s="34">
        <f t="shared" si="33"/>
        <v>1500</v>
      </c>
      <c r="J126" s="34">
        <f t="shared" si="33"/>
        <v>1500</v>
      </c>
      <c r="K126" s="34">
        <f t="shared" si="33"/>
        <v>1500</v>
      </c>
      <c r="L126" s="34">
        <f t="shared" si="33"/>
        <v>1500</v>
      </c>
      <c r="M126" s="34">
        <f t="shared" si="33"/>
        <v>1500</v>
      </c>
      <c r="N126" s="34">
        <f t="shared" si="33"/>
        <v>1500</v>
      </c>
      <c r="O126" s="34">
        <f t="shared" si="33"/>
        <v>1500</v>
      </c>
      <c r="P126" s="34">
        <f>O126*3</f>
        <v>4500</v>
      </c>
      <c r="Q126" s="34">
        <f>O126*3</f>
        <v>4500</v>
      </c>
      <c r="R126" s="34">
        <f>O126*3</f>
        <v>4500</v>
      </c>
      <c r="S126" s="34">
        <f>O126*3</f>
        <v>4500</v>
      </c>
      <c r="T126" s="34">
        <f t="shared" ref="T126" si="34">O126*12</f>
        <v>18000</v>
      </c>
      <c r="U126" s="98" t="s">
        <v>209</v>
      </c>
    </row>
    <row r="127" spans="2:21" ht="15.75" customHeight="1" outlineLevel="1" x14ac:dyDescent="0.15">
      <c r="C127" s="9"/>
    </row>
    <row r="128" spans="2:21" ht="15.75" customHeight="1" outlineLevel="1" x14ac:dyDescent="0.15">
      <c r="B128" s="120" t="s">
        <v>118</v>
      </c>
      <c r="C128" s="9"/>
      <c r="D128" s="20" t="s">
        <v>17</v>
      </c>
      <c r="E128" s="20" t="s">
        <v>18</v>
      </c>
      <c r="F128" s="20" t="s">
        <v>19</v>
      </c>
      <c r="G128" s="20" t="s">
        <v>20</v>
      </c>
      <c r="H128" s="20" t="s">
        <v>21</v>
      </c>
      <c r="I128" s="20" t="s">
        <v>22</v>
      </c>
      <c r="J128" s="20" t="s">
        <v>23</v>
      </c>
      <c r="K128" s="20" t="s">
        <v>24</v>
      </c>
      <c r="L128" s="20" t="s">
        <v>25</v>
      </c>
      <c r="M128" s="20" t="s">
        <v>26</v>
      </c>
      <c r="N128" s="20" t="s">
        <v>27</v>
      </c>
      <c r="O128" s="20" t="s">
        <v>28</v>
      </c>
      <c r="P128" s="20" t="s">
        <v>29</v>
      </c>
      <c r="Q128" s="20" t="s">
        <v>30</v>
      </c>
      <c r="R128" s="20" t="s">
        <v>31</v>
      </c>
      <c r="S128" s="20" t="s">
        <v>32</v>
      </c>
      <c r="T128" s="20" t="s">
        <v>33</v>
      </c>
    </row>
    <row r="129" spans="2:21" ht="15.75" customHeight="1" outlineLevel="2" x14ac:dyDescent="0.15">
      <c r="B129" s="117" t="s">
        <v>119</v>
      </c>
      <c r="C129" s="9" t="s">
        <v>35</v>
      </c>
      <c r="D129" s="24">
        <v>1000</v>
      </c>
      <c r="E129" s="24">
        <v>1000</v>
      </c>
      <c r="F129" s="24">
        <v>1000</v>
      </c>
      <c r="G129" s="24">
        <v>1000</v>
      </c>
      <c r="H129" s="24">
        <v>1000</v>
      </c>
      <c r="I129" s="24">
        <v>1000</v>
      </c>
      <c r="J129" s="24">
        <v>1000</v>
      </c>
      <c r="K129" s="24">
        <v>1000</v>
      </c>
      <c r="L129" s="24">
        <v>1000</v>
      </c>
      <c r="M129" s="24">
        <v>1000</v>
      </c>
      <c r="N129" s="24">
        <v>1000</v>
      </c>
      <c r="O129" s="24">
        <v>1000</v>
      </c>
      <c r="P129" s="30">
        <f>O129*3</f>
        <v>3000</v>
      </c>
      <c r="Q129" s="30">
        <f>O129*3</f>
        <v>3000</v>
      </c>
      <c r="R129" s="30">
        <f>O129*3</f>
        <v>3000</v>
      </c>
      <c r="S129" s="30">
        <f>O129*3</f>
        <v>3000</v>
      </c>
      <c r="T129" s="30">
        <f>O129*12</f>
        <v>12000</v>
      </c>
      <c r="U129" s="98" t="s">
        <v>210</v>
      </c>
    </row>
    <row r="130" spans="2:21" ht="15.75" customHeight="1" outlineLevel="1" x14ac:dyDescent="0.15">
      <c r="C130" s="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</row>
    <row r="131" spans="2:21" ht="15.75" customHeight="1" outlineLevel="1" x14ac:dyDescent="0.15">
      <c r="C131" s="9"/>
    </row>
    <row r="132" spans="2:21" ht="15.75" customHeight="1" outlineLevel="1" x14ac:dyDescent="0.15">
      <c r="B132" s="120" t="s">
        <v>120</v>
      </c>
      <c r="C132" s="9"/>
      <c r="D132" s="20" t="s">
        <v>17</v>
      </c>
      <c r="E132" s="20" t="s">
        <v>18</v>
      </c>
      <c r="F132" s="20" t="s">
        <v>19</v>
      </c>
      <c r="G132" s="20" t="s">
        <v>20</v>
      </c>
      <c r="H132" s="20" t="s">
        <v>21</v>
      </c>
      <c r="I132" s="20" t="s">
        <v>22</v>
      </c>
      <c r="J132" s="20" t="s">
        <v>23</v>
      </c>
      <c r="K132" s="20" t="s">
        <v>24</v>
      </c>
      <c r="L132" s="20" t="s">
        <v>25</v>
      </c>
      <c r="M132" s="20" t="s">
        <v>26</v>
      </c>
      <c r="N132" s="20" t="s">
        <v>27</v>
      </c>
      <c r="O132" s="20" t="s">
        <v>28</v>
      </c>
      <c r="P132" s="20" t="s">
        <v>29</v>
      </c>
      <c r="Q132" s="20" t="s">
        <v>30</v>
      </c>
      <c r="R132" s="20" t="s">
        <v>31</v>
      </c>
      <c r="S132" s="20" t="s">
        <v>32</v>
      </c>
      <c r="T132" s="20" t="s">
        <v>33</v>
      </c>
      <c r="U132" s="13"/>
    </row>
    <row r="133" spans="2:21" ht="15.75" customHeight="1" outlineLevel="1" x14ac:dyDescent="0.15">
      <c r="B133" s="117" t="s">
        <v>121</v>
      </c>
      <c r="C133" s="9" t="s">
        <v>35</v>
      </c>
      <c r="D133" s="82">
        <v>20000</v>
      </c>
      <c r="E133" s="82">
        <v>20000</v>
      </c>
      <c r="F133" s="82">
        <v>20000</v>
      </c>
      <c r="G133" s="82">
        <v>20000</v>
      </c>
      <c r="H133" s="82">
        <v>20000</v>
      </c>
      <c r="I133" s="82">
        <v>20000</v>
      </c>
      <c r="J133" s="82">
        <v>20000</v>
      </c>
      <c r="K133" s="82">
        <v>20000</v>
      </c>
      <c r="L133" s="82">
        <v>35000</v>
      </c>
      <c r="M133" s="82">
        <v>35000</v>
      </c>
      <c r="N133" s="82">
        <v>35000</v>
      </c>
      <c r="O133" s="82">
        <v>35000</v>
      </c>
      <c r="P133" s="30">
        <v>0</v>
      </c>
      <c r="Q133" s="30">
        <v>0</v>
      </c>
      <c r="R133" s="30">
        <v>0</v>
      </c>
      <c r="S133" s="30">
        <v>0</v>
      </c>
      <c r="T133" s="30">
        <v>0</v>
      </c>
      <c r="U133" s="98" t="s">
        <v>211</v>
      </c>
    </row>
    <row r="134" spans="2:21" ht="15.75" customHeight="1" outlineLevel="2" x14ac:dyDescent="0.15">
      <c r="B134" s="117" t="s">
        <v>122</v>
      </c>
      <c r="C134" s="9" t="s">
        <v>35</v>
      </c>
      <c r="D134" s="24">
        <v>500</v>
      </c>
      <c r="E134" s="24">
        <v>500</v>
      </c>
      <c r="F134" s="24">
        <v>500</v>
      </c>
      <c r="G134" s="24">
        <v>500</v>
      </c>
      <c r="H134" s="24">
        <v>500</v>
      </c>
      <c r="I134" s="24">
        <v>500</v>
      </c>
      <c r="J134" s="24">
        <v>500</v>
      </c>
      <c r="K134" s="24">
        <v>500</v>
      </c>
      <c r="L134" s="24">
        <v>500</v>
      </c>
      <c r="M134" s="24">
        <v>500</v>
      </c>
      <c r="N134" s="24">
        <v>500</v>
      </c>
      <c r="O134" s="24">
        <v>500</v>
      </c>
      <c r="P134" s="30">
        <f t="shared" ref="P134:P135" si="35">O134*3</f>
        <v>1500</v>
      </c>
      <c r="Q134" s="30">
        <f t="shared" ref="Q134:Q135" si="36">O134*3</f>
        <v>1500</v>
      </c>
      <c r="R134" s="30">
        <f t="shared" ref="R134:R135" si="37">O134*3</f>
        <v>1500</v>
      </c>
      <c r="S134" s="30">
        <f t="shared" ref="S134:S135" si="38">O134*3</f>
        <v>1500</v>
      </c>
      <c r="T134" s="30">
        <f t="shared" ref="T134:T135" si="39">O134*12</f>
        <v>6000</v>
      </c>
      <c r="U134" s="98" t="s">
        <v>212</v>
      </c>
    </row>
    <row r="135" spans="2:21" ht="15.75" customHeight="1" outlineLevel="1" x14ac:dyDescent="0.15">
      <c r="B135" s="117" t="s">
        <v>123</v>
      </c>
      <c r="C135" s="9" t="s">
        <v>35</v>
      </c>
      <c r="D135" s="24">
        <v>1000</v>
      </c>
      <c r="E135" s="24">
        <v>1000</v>
      </c>
      <c r="F135" s="24">
        <v>1000</v>
      </c>
      <c r="G135" s="24">
        <v>1000</v>
      </c>
      <c r="H135" s="24">
        <v>1000</v>
      </c>
      <c r="I135" s="24">
        <v>1000</v>
      </c>
      <c r="J135" s="24">
        <v>1000</v>
      </c>
      <c r="K135" s="24">
        <v>1000</v>
      </c>
      <c r="L135" s="24">
        <v>1000</v>
      </c>
      <c r="M135" s="24">
        <v>1000</v>
      </c>
      <c r="N135" s="24">
        <v>1000</v>
      </c>
      <c r="O135" s="24">
        <v>1000</v>
      </c>
      <c r="P135" s="30">
        <f t="shared" si="35"/>
        <v>3000</v>
      </c>
      <c r="Q135" s="30">
        <f t="shared" si="36"/>
        <v>3000</v>
      </c>
      <c r="R135" s="30">
        <f t="shared" si="37"/>
        <v>3000</v>
      </c>
      <c r="S135" s="30">
        <f t="shared" si="38"/>
        <v>3000</v>
      </c>
      <c r="T135" s="30">
        <f t="shared" si="39"/>
        <v>12000</v>
      </c>
      <c r="U135" s="98" t="s">
        <v>213</v>
      </c>
    </row>
    <row r="136" spans="2:21" ht="15.75" customHeight="1" outlineLevel="1" x14ac:dyDescent="0.15">
      <c r="B136" s="117" t="s">
        <v>124</v>
      </c>
      <c r="C136" s="9" t="s">
        <v>35</v>
      </c>
      <c r="D136" s="30">
        <f>((D139*$D$148/12)+(D140*$D$149/12)+(D141*$D$147/12)+(D142*$D$150/12)+(D143*$D$151/12)+(D144*$D$152/12))*1.046</f>
        <v>29218.26666666667</v>
      </c>
      <c r="E136" s="30">
        <f t="shared" ref="E136:O136" si="40">((E139*$D$148/12)+(E140*$D$149/12)+(E141*$D$147/12)+(E142*$D$150/12)+(E143*$D$151/12)+(E144*$D$152/12))*1.046</f>
        <v>29218.26666666667</v>
      </c>
      <c r="F136" s="30">
        <f t="shared" si="40"/>
        <v>29218.26666666667</v>
      </c>
      <c r="G136" s="30">
        <f t="shared" si="40"/>
        <v>29218.26666666667</v>
      </c>
      <c r="H136" s="30">
        <f t="shared" si="40"/>
        <v>33402.26666666667</v>
      </c>
      <c r="I136" s="30">
        <f t="shared" si="40"/>
        <v>33402.26666666667</v>
      </c>
      <c r="J136" s="30">
        <f t="shared" si="40"/>
        <v>33402.26666666667</v>
      </c>
      <c r="K136" s="30">
        <f t="shared" si="40"/>
        <v>33402.26666666667</v>
      </c>
      <c r="L136" s="30">
        <f t="shared" si="40"/>
        <v>44385.26666666667</v>
      </c>
      <c r="M136" s="30">
        <f t="shared" si="40"/>
        <v>44385.26666666667</v>
      </c>
      <c r="N136" s="30">
        <f t="shared" si="40"/>
        <v>44385.26666666667</v>
      </c>
      <c r="O136" s="30">
        <f t="shared" si="40"/>
        <v>44385.26666666667</v>
      </c>
      <c r="P136" s="30">
        <f>((P139*$D$148/4)+(P140*$D$149/4)+(P141*$D$147/4)+(P142*$D$150/4)+(P143*$D$151/4)+(P144*$D$152/4))*1.046</f>
        <v>160142.6</v>
      </c>
      <c r="Q136" s="30">
        <f>((Q139*$D$148/4)+(Q140*$D$149/4)+(Q141*$D$147/4)+(Q142*$D$150/4)+(Q143*$D$151/4)+(Q144*$D$152/4))*1.046</f>
        <v>160142.6</v>
      </c>
      <c r="R136" s="30">
        <f>((R139*$D$148/4)+(R140*$D$149/4)+(R141*$D$147/4)+(R142*$D$150/4)+(R143*$D$151/4)+(R144*$D$152/4))*1.046</f>
        <v>167987.6</v>
      </c>
      <c r="S136" s="30">
        <f>((S139*$D$148/4)+(S140*$D$149/4)+(S141*$D$147/4)+(S142*$D$150/4)+(S143*$D$151/4)+(S144*$D$152/4))*1.046</f>
        <v>167987.6</v>
      </c>
      <c r="T136" s="30">
        <f>((T139*$D$148)+(T140*$D$149)+(T141*$D$147)+(T142*$D$150)+(T143*$D$151)+(T144*$D$152))*1.046</f>
        <v>703330.4</v>
      </c>
      <c r="U136" s="100" t="s">
        <v>214</v>
      </c>
    </row>
    <row r="137" spans="2:21" ht="15.75" customHeight="1" outlineLevel="1" x14ac:dyDescent="0.15">
      <c r="B137" s="123"/>
      <c r="C137" s="9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U137" s="13"/>
    </row>
    <row r="138" spans="2:21" ht="13" outlineLevel="2" x14ac:dyDescent="0.15">
      <c r="B138" s="124" t="s">
        <v>125</v>
      </c>
      <c r="C138" s="9"/>
      <c r="D138" s="20" t="s">
        <v>17</v>
      </c>
      <c r="E138" s="20" t="s">
        <v>18</v>
      </c>
      <c r="F138" s="20" t="s">
        <v>19</v>
      </c>
      <c r="G138" s="20" t="s">
        <v>20</v>
      </c>
      <c r="H138" s="20" t="s">
        <v>21</v>
      </c>
      <c r="I138" s="20" t="s">
        <v>22</v>
      </c>
      <c r="J138" s="20" t="s">
        <v>23</v>
      </c>
      <c r="K138" s="20" t="s">
        <v>24</v>
      </c>
      <c r="L138" s="20" t="s">
        <v>25</v>
      </c>
      <c r="M138" s="20" t="s">
        <v>26</v>
      </c>
      <c r="N138" s="20" t="s">
        <v>27</v>
      </c>
      <c r="O138" s="20" t="s">
        <v>28</v>
      </c>
      <c r="P138" s="20" t="s">
        <v>29</v>
      </c>
      <c r="Q138" s="20" t="s">
        <v>30</v>
      </c>
      <c r="R138" s="20" t="s">
        <v>31</v>
      </c>
      <c r="S138" s="20" t="s">
        <v>32</v>
      </c>
      <c r="T138" s="20" t="s">
        <v>33</v>
      </c>
    </row>
    <row r="139" spans="2:21" ht="15.75" customHeight="1" outlineLevel="2" x14ac:dyDescent="0.15">
      <c r="B139" s="117" t="s">
        <v>126</v>
      </c>
      <c r="C139" s="101" t="s">
        <v>168</v>
      </c>
      <c r="D139" s="36">
        <v>1</v>
      </c>
      <c r="E139" s="36">
        <v>1</v>
      </c>
      <c r="F139" s="36">
        <v>1</v>
      </c>
      <c r="G139" s="36">
        <v>1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  <c r="O139" s="36">
        <v>2</v>
      </c>
      <c r="P139" s="36">
        <v>3</v>
      </c>
      <c r="Q139" s="36">
        <v>3</v>
      </c>
      <c r="R139" s="36">
        <v>3</v>
      </c>
      <c r="S139" s="36">
        <v>3</v>
      </c>
      <c r="T139" s="36">
        <v>3</v>
      </c>
      <c r="U139" s="98" t="s">
        <v>215</v>
      </c>
    </row>
    <row r="140" spans="2:21" ht="15.75" customHeight="1" outlineLevel="2" x14ac:dyDescent="0.15">
      <c r="B140" s="117" t="s">
        <v>127</v>
      </c>
      <c r="C140" s="101" t="s">
        <v>168</v>
      </c>
      <c r="D140" s="37">
        <v>1</v>
      </c>
      <c r="E140" s="37">
        <v>1</v>
      </c>
      <c r="F140" s="37">
        <v>1</v>
      </c>
      <c r="G140" s="37">
        <v>1</v>
      </c>
      <c r="H140" s="37">
        <v>1</v>
      </c>
      <c r="I140" s="37">
        <v>1</v>
      </c>
      <c r="J140" s="37">
        <v>1</v>
      </c>
      <c r="K140" s="37">
        <v>1</v>
      </c>
      <c r="L140" s="37">
        <v>1</v>
      </c>
      <c r="M140" s="37">
        <v>1</v>
      </c>
      <c r="N140" s="37">
        <v>1</v>
      </c>
      <c r="O140" s="37">
        <v>1</v>
      </c>
      <c r="P140" s="37">
        <v>1</v>
      </c>
      <c r="Q140" s="37">
        <v>1</v>
      </c>
      <c r="R140" s="37">
        <v>1</v>
      </c>
      <c r="S140" s="37">
        <v>1</v>
      </c>
      <c r="T140" s="37">
        <v>1</v>
      </c>
      <c r="U140" s="98" t="s">
        <v>215</v>
      </c>
    </row>
    <row r="141" spans="2:21" ht="15.75" customHeight="1" outlineLevel="2" x14ac:dyDescent="0.15">
      <c r="B141" s="117" t="s">
        <v>128</v>
      </c>
      <c r="C141" s="101" t="s">
        <v>168</v>
      </c>
      <c r="D141" s="37">
        <v>1</v>
      </c>
      <c r="E141" s="37">
        <v>1</v>
      </c>
      <c r="F141" s="37">
        <v>1</v>
      </c>
      <c r="G141" s="37">
        <v>1</v>
      </c>
      <c r="H141" s="37">
        <v>1</v>
      </c>
      <c r="I141" s="37">
        <v>1</v>
      </c>
      <c r="J141" s="37">
        <v>1</v>
      </c>
      <c r="K141" s="37">
        <v>1</v>
      </c>
      <c r="L141" s="37">
        <v>2</v>
      </c>
      <c r="M141" s="37">
        <v>2</v>
      </c>
      <c r="N141" s="37">
        <v>2</v>
      </c>
      <c r="O141" s="37">
        <v>2</v>
      </c>
      <c r="P141" s="37">
        <v>3</v>
      </c>
      <c r="Q141" s="37">
        <v>3</v>
      </c>
      <c r="R141" s="37">
        <v>4</v>
      </c>
      <c r="S141" s="37">
        <v>4</v>
      </c>
      <c r="T141" s="37">
        <v>5</v>
      </c>
      <c r="U141" s="98" t="s">
        <v>215</v>
      </c>
    </row>
    <row r="142" spans="2:21" ht="15.75" customHeight="1" outlineLevel="2" x14ac:dyDescent="0.15">
      <c r="B142" s="117" t="s">
        <v>129</v>
      </c>
      <c r="C142" s="101" t="s">
        <v>168</v>
      </c>
      <c r="D142" s="37">
        <v>1</v>
      </c>
      <c r="E142" s="37">
        <v>1</v>
      </c>
      <c r="F142" s="37">
        <v>1</v>
      </c>
      <c r="G142" s="37">
        <v>1</v>
      </c>
      <c r="H142" s="37">
        <v>1</v>
      </c>
      <c r="I142" s="37">
        <v>1</v>
      </c>
      <c r="J142" s="37">
        <v>1</v>
      </c>
      <c r="K142" s="37">
        <v>1</v>
      </c>
      <c r="L142" s="37">
        <v>2</v>
      </c>
      <c r="M142" s="37">
        <v>2</v>
      </c>
      <c r="N142" s="37">
        <v>2</v>
      </c>
      <c r="O142" s="37">
        <v>2</v>
      </c>
      <c r="P142" s="37">
        <v>2</v>
      </c>
      <c r="Q142" s="37">
        <v>2</v>
      </c>
      <c r="R142" s="37">
        <v>2</v>
      </c>
      <c r="S142" s="37">
        <v>2</v>
      </c>
      <c r="T142" s="37">
        <v>2</v>
      </c>
      <c r="U142" s="98" t="s">
        <v>215</v>
      </c>
    </row>
    <row r="143" spans="2:21" ht="15.75" customHeight="1" outlineLevel="2" x14ac:dyDescent="0.15">
      <c r="B143" s="117" t="s">
        <v>130</v>
      </c>
      <c r="C143" s="101" t="s">
        <v>168</v>
      </c>
      <c r="D143" s="37">
        <v>1</v>
      </c>
      <c r="E143" s="37">
        <v>1</v>
      </c>
      <c r="F143" s="37">
        <v>1</v>
      </c>
      <c r="G143" s="37">
        <v>1</v>
      </c>
      <c r="H143" s="37">
        <v>1</v>
      </c>
      <c r="I143" s="37">
        <v>1</v>
      </c>
      <c r="J143" s="37">
        <v>1</v>
      </c>
      <c r="K143" s="37">
        <v>1</v>
      </c>
      <c r="L143" s="37">
        <v>1</v>
      </c>
      <c r="M143" s="37">
        <v>1</v>
      </c>
      <c r="N143" s="37">
        <v>1</v>
      </c>
      <c r="O143" s="37">
        <v>1</v>
      </c>
      <c r="P143" s="37">
        <v>2</v>
      </c>
      <c r="Q143" s="37">
        <v>2</v>
      </c>
      <c r="R143" s="37">
        <v>2</v>
      </c>
      <c r="S143" s="37">
        <v>2</v>
      </c>
      <c r="T143" s="37">
        <v>2</v>
      </c>
      <c r="U143" s="98" t="s">
        <v>216</v>
      </c>
    </row>
    <row r="144" spans="2:21" ht="15.75" customHeight="1" outlineLevel="2" x14ac:dyDescent="0.15">
      <c r="B144" s="117" t="s">
        <v>131</v>
      </c>
      <c r="C144" s="101" t="s">
        <v>168</v>
      </c>
      <c r="D144" s="37">
        <v>1</v>
      </c>
      <c r="E144" s="37">
        <v>1</v>
      </c>
      <c r="F144" s="37">
        <v>1</v>
      </c>
      <c r="G144" s="37">
        <v>1</v>
      </c>
      <c r="H144" s="37">
        <v>1</v>
      </c>
      <c r="I144" s="37">
        <v>1</v>
      </c>
      <c r="J144" s="37">
        <v>1</v>
      </c>
      <c r="K144" s="37">
        <v>1</v>
      </c>
      <c r="L144" s="37">
        <v>1</v>
      </c>
      <c r="M144" s="37">
        <v>1</v>
      </c>
      <c r="N144" s="37">
        <v>1</v>
      </c>
      <c r="O144" s="37">
        <v>1</v>
      </c>
      <c r="P144" s="37">
        <v>1</v>
      </c>
      <c r="Q144" s="37">
        <v>1</v>
      </c>
      <c r="R144" s="37">
        <v>1</v>
      </c>
      <c r="S144" s="37">
        <v>1</v>
      </c>
      <c r="T144" s="37">
        <v>1</v>
      </c>
      <c r="U144" s="98" t="s">
        <v>215</v>
      </c>
    </row>
    <row r="145" spans="1:41" ht="15.75" customHeight="1" outlineLevel="1" x14ac:dyDescent="0.15">
      <c r="B145" s="123"/>
      <c r="C145" s="9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U145" s="13"/>
    </row>
    <row r="146" spans="1:41" ht="15.75" customHeight="1" outlineLevel="1" x14ac:dyDescent="0.15">
      <c r="B146" s="124" t="s">
        <v>132</v>
      </c>
      <c r="C146" s="9"/>
      <c r="D146" s="20"/>
      <c r="E146" s="31"/>
      <c r="F146" s="20"/>
      <c r="G146" s="20"/>
      <c r="H146" s="17"/>
      <c r="I146" s="17"/>
      <c r="J146" s="17"/>
      <c r="K146" s="17"/>
      <c r="L146" s="17"/>
      <c r="M146" s="17"/>
      <c r="N146" s="17"/>
      <c r="O146" s="17"/>
      <c r="U146" s="13"/>
    </row>
    <row r="147" spans="1:41" ht="15.75" customHeight="1" outlineLevel="1" x14ac:dyDescent="0.15">
      <c r="B147" s="117" t="s">
        <v>133</v>
      </c>
      <c r="C147" s="101" t="s">
        <v>169</v>
      </c>
      <c r="D147" s="24">
        <v>30000</v>
      </c>
      <c r="E147" s="98" t="s">
        <v>172</v>
      </c>
      <c r="F147" s="26"/>
      <c r="H147" s="17"/>
      <c r="I147" s="17"/>
      <c r="J147" s="17"/>
      <c r="K147" s="17"/>
      <c r="L147" s="17"/>
      <c r="M147" s="17"/>
      <c r="N147" s="17"/>
      <c r="O147" s="17"/>
      <c r="U147" s="13"/>
    </row>
    <row r="148" spans="1:41" ht="15.75" customHeight="1" outlineLevel="1" x14ac:dyDescent="0.15">
      <c r="B148" s="117" t="s">
        <v>134</v>
      </c>
      <c r="C148" s="101" t="s">
        <v>169</v>
      </c>
      <c r="D148" s="24">
        <v>48000</v>
      </c>
      <c r="E148" s="98" t="s">
        <v>173</v>
      </c>
      <c r="F148" s="26"/>
      <c r="H148" s="17"/>
      <c r="I148" s="17"/>
      <c r="J148" s="17"/>
      <c r="K148" s="17"/>
      <c r="L148" s="17"/>
      <c r="M148" s="17"/>
      <c r="N148" s="17"/>
      <c r="O148" s="17"/>
      <c r="U148" s="13"/>
    </row>
    <row r="149" spans="1:41" ht="15.75" customHeight="1" outlineLevel="1" x14ac:dyDescent="0.15">
      <c r="B149" s="117" t="s">
        <v>135</v>
      </c>
      <c r="C149" s="101" t="s">
        <v>169</v>
      </c>
      <c r="D149" s="24">
        <v>100000</v>
      </c>
      <c r="E149" s="98" t="s">
        <v>174</v>
      </c>
      <c r="F149" s="26"/>
      <c r="H149" s="17"/>
      <c r="I149" s="17"/>
      <c r="J149" s="17"/>
      <c r="K149" s="17"/>
      <c r="L149" s="17"/>
      <c r="M149" s="17"/>
      <c r="N149" s="17"/>
      <c r="O149" s="17"/>
      <c r="U149" s="13"/>
    </row>
    <row r="150" spans="1:41" ht="15.75" customHeight="1" outlineLevel="1" x14ac:dyDescent="0.15">
      <c r="B150" s="117" t="s">
        <v>136</v>
      </c>
      <c r="C150" s="101" t="s">
        <v>169</v>
      </c>
      <c r="D150" s="24">
        <v>96000</v>
      </c>
      <c r="E150" s="98" t="s">
        <v>175</v>
      </c>
      <c r="F150" s="26"/>
      <c r="H150" s="17"/>
      <c r="I150" s="17"/>
      <c r="J150" s="17"/>
      <c r="K150" s="17"/>
      <c r="L150" s="17"/>
      <c r="M150" s="17"/>
      <c r="N150" s="17"/>
      <c r="O150" s="17"/>
      <c r="U150" s="13"/>
    </row>
    <row r="151" spans="1:41" ht="15.75" customHeight="1" outlineLevel="1" x14ac:dyDescent="0.15">
      <c r="B151" s="117" t="s">
        <v>137</v>
      </c>
      <c r="C151" s="101" t="s">
        <v>169</v>
      </c>
      <c r="D151" s="24">
        <v>25200</v>
      </c>
      <c r="E151" s="98" t="s">
        <v>176</v>
      </c>
      <c r="F151" s="26"/>
      <c r="H151" s="17"/>
      <c r="I151" s="17"/>
      <c r="J151" s="17"/>
      <c r="K151" s="17"/>
      <c r="L151" s="17"/>
      <c r="M151" s="17"/>
      <c r="N151" s="17"/>
      <c r="O151" s="17"/>
      <c r="U151" s="13"/>
    </row>
    <row r="152" spans="1:41" ht="15.75" customHeight="1" outlineLevel="1" x14ac:dyDescent="0.15">
      <c r="B152" s="117" t="s">
        <v>138</v>
      </c>
      <c r="C152" s="101" t="s">
        <v>169</v>
      </c>
      <c r="D152" s="24">
        <v>36000</v>
      </c>
      <c r="E152" s="98" t="s">
        <v>177</v>
      </c>
      <c r="F152" s="26"/>
      <c r="H152" s="17"/>
      <c r="I152" s="17"/>
      <c r="J152" s="17"/>
      <c r="K152" s="17"/>
      <c r="L152" s="17"/>
      <c r="M152" s="17"/>
      <c r="N152" s="17"/>
      <c r="O152" s="17"/>
      <c r="U152" s="13"/>
    </row>
    <row r="153" spans="1:41" ht="15.75" customHeight="1" outlineLevel="1" x14ac:dyDescent="0.15">
      <c r="B153" s="123"/>
      <c r="C153" s="9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U153" s="13"/>
    </row>
    <row r="154" spans="1:41" ht="15.75" customHeight="1" outlineLevel="1" x14ac:dyDescent="0.15">
      <c r="C154" s="9"/>
    </row>
    <row r="155" spans="1:41" ht="15.75" customHeight="1" x14ac:dyDescent="0.2">
      <c r="A155" s="13"/>
      <c r="B155" s="116" t="s">
        <v>139</v>
      </c>
      <c r="C155" s="88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</row>
    <row r="156" spans="1:41" ht="15.75" customHeight="1" outlineLevel="1" x14ac:dyDescent="0.15">
      <c r="C156" s="9"/>
    </row>
    <row r="157" spans="1:41" ht="15.75" customHeight="1" outlineLevel="1" x14ac:dyDescent="0.15">
      <c r="B157" s="120" t="s">
        <v>109</v>
      </c>
      <c r="C157" s="9"/>
      <c r="D157" s="20" t="s">
        <v>17</v>
      </c>
      <c r="E157" s="20" t="s">
        <v>18</v>
      </c>
      <c r="F157" s="20" t="s">
        <v>19</v>
      </c>
      <c r="G157" s="20" t="s">
        <v>20</v>
      </c>
      <c r="H157" s="20" t="s">
        <v>21</v>
      </c>
      <c r="I157" s="20" t="s">
        <v>22</v>
      </c>
      <c r="J157" s="31" t="s">
        <v>23</v>
      </c>
      <c r="K157" s="20" t="s">
        <v>24</v>
      </c>
      <c r="L157" s="20" t="s">
        <v>25</v>
      </c>
      <c r="M157" s="20" t="s">
        <v>26</v>
      </c>
      <c r="N157" s="20" t="s">
        <v>27</v>
      </c>
      <c r="O157" s="20" t="s">
        <v>28</v>
      </c>
      <c r="P157" s="20" t="s">
        <v>29</v>
      </c>
      <c r="Q157" s="20" t="s">
        <v>30</v>
      </c>
      <c r="R157" s="20" t="s">
        <v>31</v>
      </c>
      <c r="S157" s="20" t="s">
        <v>32</v>
      </c>
      <c r="T157" s="20" t="s">
        <v>33</v>
      </c>
    </row>
    <row r="158" spans="1:41" ht="13" outlineLevel="2" x14ac:dyDescent="0.15">
      <c r="B158" s="117" t="s">
        <v>110</v>
      </c>
      <c r="C158" s="9" t="s">
        <v>16</v>
      </c>
      <c r="D158" s="79">
        <v>0.33333333333333331</v>
      </c>
      <c r="E158" s="79">
        <v>0.33333333333333331</v>
      </c>
      <c r="F158" s="79">
        <v>0.33333333333333331</v>
      </c>
      <c r="G158" s="79">
        <v>0.33333333333333331</v>
      </c>
      <c r="H158" s="79">
        <v>0.33333333333333331</v>
      </c>
      <c r="I158" s="79">
        <v>0.33333333333333331</v>
      </c>
      <c r="J158" s="79">
        <v>0.33333333333333331</v>
      </c>
      <c r="K158" s="79">
        <v>0.33333333333333331</v>
      </c>
      <c r="L158" s="79">
        <v>0.33333333333333331</v>
      </c>
      <c r="M158" s="79">
        <v>0.33333333333333331</v>
      </c>
      <c r="N158" s="79">
        <v>0.33333333333333331</v>
      </c>
      <c r="O158" s="79">
        <v>0.33333333333333331</v>
      </c>
      <c r="P158" s="79">
        <v>0.33333333333333331</v>
      </c>
      <c r="Q158" s="79">
        <v>0.33333333333333331</v>
      </c>
      <c r="R158" s="79">
        <v>0.33333333333333331</v>
      </c>
      <c r="S158" s="79">
        <v>0.33333333333333331</v>
      </c>
      <c r="T158" s="79">
        <v>0.33333333333333331</v>
      </c>
      <c r="U158" s="98" t="s">
        <v>199</v>
      </c>
    </row>
    <row r="159" spans="1:41" ht="13" outlineLevel="2" x14ac:dyDescent="0.15">
      <c r="B159" s="117" t="s">
        <v>110</v>
      </c>
      <c r="C159" s="9" t="s">
        <v>35</v>
      </c>
      <c r="D159" s="33">
        <f>D77*D158</f>
        <v>0</v>
      </c>
      <c r="E159" s="33">
        <f>E77*E158</f>
        <v>0</v>
      </c>
      <c r="F159" s="33">
        <f>F77*F158</f>
        <v>0</v>
      </c>
      <c r="G159" s="33">
        <f>G77*G158</f>
        <v>0</v>
      </c>
      <c r="H159" s="33">
        <f>H77*H158</f>
        <v>0</v>
      </c>
      <c r="I159" s="33">
        <f>I77*I158</f>
        <v>0</v>
      </c>
      <c r="J159" s="33">
        <f>J77*J158</f>
        <v>0</v>
      </c>
      <c r="K159" s="33">
        <f>K77*K158</f>
        <v>0</v>
      </c>
      <c r="L159" s="33">
        <f>L77*L158</f>
        <v>0</v>
      </c>
      <c r="M159" s="33">
        <f>M77*M158</f>
        <v>0</v>
      </c>
      <c r="N159" s="33">
        <f>N77*N158</f>
        <v>10500</v>
      </c>
      <c r="O159" s="33">
        <f>O77*O158</f>
        <v>37910</v>
      </c>
      <c r="P159" s="33">
        <f>P77*P158</f>
        <v>738497.5560000001</v>
      </c>
      <c r="Q159" s="33">
        <f>Q77*Q158</f>
        <v>4260893.3145540021</v>
      </c>
      <c r="R159" s="33">
        <f>R77*R158</f>
        <v>9245944.82953698</v>
      </c>
      <c r="S159" s="33">
        <f>S77*S158</f>
        <v>14028296.654238667</v>
      </c>
      <c r="T159" s="33">
        <f>T77*T158</f>
        <v>36266037.63512525</v>
      </c>
    </row>
    <row r="160" spans="1:41" ht="13" outlineLevel="2" x14ac:dyDescent="0.15">
      <c r="B160" s="117" t="s">
        <v>111</v>
      </c>
      <c r="C160" s="9" t="s">
        <v>16</v>
      </c>
      <c r="D160" s="79">
        <v>0.33333333333333331</v>
      </c>
      <c r="E160" s="79">
        <v>0.33333333333333331</v>
      </c>
      <c r="F160" s="79">
        <v>0.33333333333333331</v>
      </c>
      <c r="G160" s="79">
        <v>0.33333333333333331</v>
      </c>
      <c r="H160" s="79">
        <v>0.33333333333333331</v>
      </c>
      <c r="I160" s="79">
        <v>0.33333333333333331</v>
      </c>
      <c r="J160" s="79">
        <v>0.33333333333333331</v>
      </c>
      <c r="K160" s="79">
        <v>0.33333333333333331</v>
      </c>
      <c r="L160" s="79">
        <v>0.33333333333333331</v>
      </c>
      <c r="M160" s="79">
        <v>0.33333333333333331</v>
      </c>
      <c r="N160" s="79">
        <v>0.33333333333333331</v>
      </c>
      <c r="O160" s="79">
        <v>0.33333333333333331</v>
      </c>
      <c r="P160" s="79">
        <v>0.33333333333333331</v>
      </c>
      <c r="Q160" s="79">
        <v>0.33333333333333331</v>
      </c>
      <c r="R160" s="79">
        <v>0.33333333333333331</v>
      </c>
      <c r="S160" s="79">
        <v>0.33333333333333331</v>
      </c>
      <c r="T160" s="79">
        <v>0.33333333333333331</v>
      </c>
      <c r="U160" s="98" t="s">
        <v>199</v>
      </c>
    </row>
    <row r="161" spans="2:21" ht="13" outlineLevel="2" x14ac:dyDescent="0.15">
      <c r="B161" s="117" t="s">
        <v>111</v>
      </c>
      <c r="C161" s="9" t="s">
        <v>35</v>
      </c>
      <c r="D161" s="33">
        <f>D77*D160</f>
        <v>0</v>
      </c>
      <c r="E161" s="33">
        <f>E77*E160</f>
        <v>0</v>
      </c>
      <c r="F161" s="33">
        <f>F77*F160</f>
        <v>0</v>
      </c>
      <c r="G161" s="33">
        <f>G77*G160</f>
        <v>0</v>
      </c>
      <c r="H161" s="33">
        <f>H77*H160</f>
        <v>0</v>
      </c>
      <c r="I161" s="33">
        <f>I77*I160</f>
        <v>0</v>
      </c>
      <c r="J161" s="33">
        <f>J77*J160</f>
        <v>0</v>
      </c>
      <c r="K161" s="33">
        <f>K77*K160</f>
        <v>0</v>
      </c>
      <c r="L161" s="33">
        <f>L77*L160</f>
        <v>0</v>
      </c>
      <c r="M161" s="33">
        <f>M77*M160</f>
        <v>0</v>
      </c>
      <c r="N161" s="33">
        <f>N77*N160</f>
        <v>10500</v>
      </c>
      <c r="O161" s="33">
        <f>O77*O160</f>
        <v>37910</v>
      </c>
      <c r="P161" s="33">
        <f>P77*P160</f>
        <v>738497.5560000001</v>
      </c>
      <c r="Q161" s="33">
        <f>Q77*Q160</f>
        <v>4260893.3145540021</v>
      </c>
      <c r="R161" s="33">
        <f>R77*R160</f>
        <v>9245944.82953698</v>
      </c>
      <c r="S161" s="33">
        <f>S77*S160</f>
        <v>14028296.654238667</v>
      </c>
      <c r="T161" s="33">
        <f>T77*T160</f>
        <v>36266037.63512525</v>
      </c>
    </row>
    <row r="162" spans="2:21" ht="15.75" customHeight="1" outlineLevel="1" x14ac:dyDescent="0.15">
      <c r="B162" s="123"/>
      <c r="C162" s="9"/>
    </row>
    <row r="163" spans="2:21" ht="15.75" customHeight="1" outlineLevel="1" x14ac:dyDescent="0.15">
      <c r="B163" s="120" t="s">
        <v>140</v>
      </c>
      <c r="C163" s="9"/>
    </row>
    <row r="164" spans="2:21" ht="15.75" customHeight="1" outlineLevel="2" x14ac:dyDescent="0.15">
      <c r="B164" s="124" t="s">
        <v>141</v>
      </c>
      <c r="C164" s="9"/>
      <c r="D164" s="20" t="s">
        <v>17</v>
      </c>
      <c r="E164" s="20" t="s">
        <v>18</v>
      </c>
      <c r="F164" s="20" t="s">
        <v>19</v>
      </c>
      <c r="G164" s="20" t="s">
        <v>20</v>
      </c>
      <c r="H164" s="20" t="s">
        <v>21</v>
      </c>
      <c r="I164" s="20" t="s">
        <v>22</v>
      </c>
      <c r="J164" s="20" t="s">
        <v>23</v>
      </c>
      <c r="K164" s="20" t="s">
        <v>24</v>
      </c>
      <c r="L164" s="20" t="s">
        <v>25</v>
      </c>
      <c r="M164" s="20" t="s">
        <v>26</v>
      </c>
      <c r="N164" s="20" t="s">
        <v>27</v>
      </c>
      <c r="O164" s="20" t="s">
        <v>28</v>
      </c>
      <c r="P164" s="20" t="s">
        <v>29</v>
      </c>
      <c r="Q164" s="20" t="s">
        <v>30</v>
      </c>
      <c r="R164" s="20" t="s">
        <v>31</v>
      </c>
      <c r="S164" s="20" t="s">
        <v>32</v>
      </c>
      <c r="T164" s="20" t="s">
        <v>33</v>
      </c>
    </row>
    <row r="165" spans="2:21" ht="15.75" customHeight="1" outlineLevel="2" x14ac:dyDescent="0.15">
      <c r="B165" s="117" t="s">
        <v>142</v>
      </c>
      <c r="C165" s="101" t="s">
        <v>168</v>
      </c>
      <c r="D165" s="36">
        <v>0</v>
      </c>
      <c r="E165" s="36">
        <v>0</v>
      </c>
      <c r="F165" s="36">
        <v>1</v>
      </c>
      <c r="G165" s="36">
        <v>1</v>
      </c>
      <c r="H165" s="36">
        <v>1</v>
      </c>
      <c r="I165" s="36">
        <v>1</v>
      </c>
      <c r="J165" s="36">
        <v>1</v>
      </c>
      <c r="K165" s="36">
        <v>1</v>
      </c>
      <c r="L165" s="36">
        <v>1</v>
      </c>
      <c r="M165" s="36">
        <v>1</v>
      </c>
      <c r="N165" s="36">
        <v>1</v>
      </c>
      <c r="O165" s="36">
        <v>1</v>
      </c>
      <c r="P165" s="36">
        <v>2</v>
      </c>
      <c r="Q165" s="36">
        <v>2</v>
      </c>
      <c r="R165" s="36">
        <v>2</v>
      </c>
      <c r="S165" s="36">
        <v>2</v>
      </c>
      <c r="T165" s="36">
        <v>2</v>
      </c>
      <c r="U165" s="98" t="s">
        <v>217</v>
      </c>
    </row>
    <row r="166" spans="2:21" ht="15.75" customHeight="1" outlineLevel="2" x14ac:dyDescent="0.15">
      <c r="B166" s="117" t="s">
        <v>143</v>
      </c>
      <c r="C166" s="101" t="s">
        <v>168</v>
      </c>
      <c r="D166" s="36">
        <v>1</v>
      </c>
      <c r="E166" s="36">
        <v>1</v>
      </c>
      <c r="F166" s="36">
        <v>1</v>
      </c>
      <c r="G166" s="36">
        <v>1</v>
      </c>
      <c r="H166" s="36">
        <v>1</v>
      </c>
      <c r="I166" s="36">
        <v>1</v>
      </c>
      <c r="J166" s="36">
        <v>1</v>
      </c>
      <c r="K166" s="36">
        <v>1</v>
      </c>
      <c r="L166" s="36">
        <v>1</v>
      </c>
      <c r="M166" s="36">
        <v>1</v>
      </c>
      <c r="N166" s="36">
        <v>1</v>
      </c>
      <c r="O166" s="36">
        <v>1</v>
      </c>
      <c r="P166" s="36">
        <v>2</v>
      </c>
      <c r="Q166" s="36">
        <v>2</v>
      </c>
      <c r="R166" s="36">
        <v>2</v>
      </c>
      <c r="S166" s="36">
        <v>2</v>
      </c>
      <c r="T166" s="36">
        <v>2</v>
      </c>
      <c r="U166" s="98" t="s">
        <v>217</v>
      </c>
    </row>
    <row r="167" spans="2:21" ht="15.75" customHeight="1" outlineLevel="2" x14ac:dyDescent="0.15">
      <c r="B167" s="117" t="s">
        <v>144</v>
      </c>
      <c r="C167" s="101" t="s">
        <v>168</v>
      </c>
      <c r="D167" s="36">
        <v>1</v>
      </c>
      <c r="E167" s="36">
        <v>1</v>
      </c>
      <c r="F167" s="36">
        <v>1</v>
      </c>
      <c r="G167" s="36">
        <v>1</v>
      </c>
      <c r="H167" s="36">
        <v>1</v>
      </c>
      <c r="I167" s="36">
        <v>1</v>
      </c>
      <c r="J167" s="36">
        <v>1</v>
      </c>
      <c r="K167" s="36">
        <v>1</v>
      </c>
      <c r="L167" s="36">
        <v>1</v>
      </c>
      <c r="M167" s="36">
        <v>1</v>
      </c>
      <c r="N167" s="36">
        <v>1</v>
      </c>
      <c r="O167" s="36">
        <v>1</v>
      </c>
      <c r="P167" s="36">
        <v>2</v>
      </c>
      <c r="Q167" s="36">
        <v>2</v>
      </c>
      <c r="R167" s="36">
        <v>2</v>
      </c>
      <c r="S167" s="36">
        <v>2</v>
      </c>
      <c r="T167" s="36">
        <v>2</v>
      </c>
      <c r="U167" s="98" t="s">
        <v>217</v>
      </c>
    </row>
    <row r="168" spans="2:21" ht="15.75" customHeight="1" outlineLevel="2" x14ac:dyDescent="0.15">
      <c r="B168" s="117" t="s">
        <v>145</v>
      </c>
      <c r="C168" s="101" t="s">
        <v>168</v>
      </c>
      <c r="D168" s="36">
        <v>1</v>
      </c>
      <c r="E168" s="36">
        <v>1</v>
      </c>
      <c r="F168" s="36">
        <v>1</v>
      </c>
      <c r="G168" s="36">
        <v>1</v>
      </c>
      <c r="H168" s="36">
        <v>1</v>
      </c>
      <c r="I168" s="36">
        <v>1</v>
      </c>
      <c r="J168" s="36">
        <v>1</v>
      </c>
      <c r="K168" s="36">
        <v>1</v>
      </c>
      <c r="L168" s="36">
        <v>1</v>
      </c>
      <c r="M168" s="36">
        <v>1</v>
      </c>
      <c r="N168" s="36">
        <v>1</v>
      </c>
      <c r="O168" s="36">
        <v>1</v>
      </c>
      <c r="P168" s="36">
        <v>1</v>
      </c>
      <c r="Q168" s="36">
        <v>1</v>
      </c>
      <c r="R168" s="36">
        <v>1</v>
      </c>
      <c r="S168" s="36">
        <v>1</v>
      </c>
      <c r="T168" s="36">
        <v>1</v>
      </c>
      <c r="U168" s="98" t="s">
        <v>217</v>
      </c>
    </row>
    <row r="169" spans="2:21" ht="15.75" customHeight="1" outlineLevel="2" x14ac:dyDescent="0.15">
      <c r="C169" s="9"/>
    </row>
    <row r="170" spans="2:21" ht="15.75" customHeight="1" outlineLevel="2" x14ac:dyDescent="0.15">
      <c r="B170" s="124" t="s">
        <v>146</v>
      </c>
      <c r="C170" s="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2:21" ht="15.75" customHeight="1" outlineLevel="2" x14ac:dyDescent="0.15">
      <c r="B171" s="117" t="s">
        <v>133</v>
      </c>
      <c r="C171" s="101" t="s">
        <v>169</v>
      </c>
      <c r="D171" s="24">
        <f>4*925*12*1.046</f>
        <v>46442.400000000001</v>
      </c>
      <c r="E171" s="100" t="s">
        <v>178</v>
      </c>
      <c r="F171" s="26"/>
      <c r="H171" s="26"/>
      <c r="I171" s="26"/>
      <c r="J171" s="26"/>
      <c r="K171" s="26"/>
      <c r="L171" s="26"/>
      <c r="M171" s="26"/>
      <c r="N171" s="26"/>
      <c r="O171" s="26"/>
      <c r="U171" s="98" t="s">
        <v>218</v>
      </c>
    </row>
    <row r="172" spans="2:21" ht="15.75" customHeight="1" outlineLevel="2" x14ac:dyDescent="0.15">
      <c r="B172" s="117" t="s">
        <v>136</v>
      </c>
      <c r="C172" s="101" t="s">
        <v>169</v>
      </c>
      <c r="D172" s="24">
        <f>4*2701*12*1.046</f>
        <v>135611.80800000002</v>
      </c>
      <c r="E172" s="98" t="s">
        <v>179</v>
      </c>
      <c r="F172" s="26"/>
      <c r="H172" s="26"/>
      <c r="I172" s="26"/>
      <c r="J172" s="26"/>
      <c r="K172" s="26"/>
      <c r="L172" s="26"/>
      <c r="M172" s="26"/>
      <c r="N172" s="26"/>
      <c r="O172" s="26"/>
      <c r="U172" s="98" t="s">
        <v>218</v>
      </c>
    </row>
    <row r="173" spans="2:21" ht="15.75" customHeight="1" outlineLevel="2" x14ac:dyDescent="0.15">
      <c r="B173" s="117" t="s">
        <v>137</v>
      </c>
      <c r="C173" s="101" t="s">
        <v>169</v>
      </c>
      <c r="D173" s="24">
        <f>4*1037*12*1.046</f>
        <v>52065.696000000004</v>
      </c>
      <c r="E173" s="98" t="s">
        <v>180</v>
      </c>
      <c r="F173" s="26"/>
      <c r="H173" s="26"/>
      <c r="I173" s="26"/>
      <c r="J173" s="26"/>
      <c r="K173" s="26"/>
      <c r="L173" s="26"/>
      <c r="M173" s="26"/>
      <c r="N173" s="26"/>
      <c r="O173" s="26"/>
      <c r="U173" s="98" t="s">
        <v>218</v>
      </c>
    </row>
    <row r="174" spans="2:21" ht="15.75" customHeight="1" outlineLevel="2" x14ac:dyDescent="0.15">
      <c r="B174" s="117" t="s">
        <v>147</v>
      </c>
      <c r="C174" s="101" t="s">
        <v>169</v>
      </c>
      <c r="D174" s="24">
        <f>4*1729*12*1.046</f>
        <v>86809.631999999998</v>
      </c>
      <c r="E174" s="98" t="s">
        <v>181</v>
      </c>
      <c r="F174" s="26"/>
      <c r="H174" s="26"/>
      <c r="I174" s="26"/>
      <c r="J174" s="26"/>
      <c r="K174" s="26"/>
      <c r="L174" s="26"/>
      <c r="M174" s="26"/>
      <c r="N174" s="26"/>
      <c r="O174" s="26"/>
      <c r="U174" s="98" t="s">
        <v>218</v>
      </c>
    </row>
    <row r="175" spans="2:21" ht="15.75" customHeight="1" outlineLevel="1" x14ac:dyDescent="0.15">
      <c r="C175" s="9"/>
    </row>
    <row r="176" spans="2:21" ht="15.75" customHeight="1" outlineLevel="1" x14ac:dyDescent="0.15">
      <c r="B176" s="120" t="s">
        <v>112</v>
      </c>
      <c r="C176" s="9"/>
      <c r="D176" s="20" t="s">
        <v>17</v>
      </c>
      <c r="E176" s="20" t="s">
        <v>18</v>
      </c>
      <c r="F176" s="20" t="s">
        <v>19</v>
      </c>
      <c r="G176" s="20" t="s">
        <v>20</v>
      </c>
      <c r="H176" s="20" t="s">
        <v>21</v>
      </c>
      <c r="I176" s="20" t="s">
        <v>22</v>
      </c>
      <c r="J176" s="20" t="s">
        <v>23</v>
      </c>
      <c r="K176" s="20" t="s">
        <v>24</v>
      </c>
      <c r="L176" s="20" t="s">
        <v>25</v>
      </c>
      <c r="M176" s="20" t="s">
        <v>26</v>
      </c>
      <c r="N176" s="20" t="s">
        <v>27</v>
      </c>
      <c r="O176" s="20" t="s">
        <v>28</v>
      </c>
      <c r="P176" s="20" t="s">
        <v>29</v>
      </c>
      <c r="Q176" s="20" t="s">
        <v>30</v>
      </c>
      <c r="R176" s="20" t="s">
        <v>31</v>
      </c>
      <c r="S176" s="20" t="s">
        <v>32</v>
      </c>
      <c r="T176" s="20" t="s">
        <v>33</v>
      </c>
    </row>
    <row r="177" spans="1:41" ht="15.75" customHeight="1" outlineLevel="2" x14ac:dyDescent="0.15">
      <c r="B177" s="117" t="s">
        <v>113</v>
      </c>
      <c r="C177" s="101" t="s">
        <v>117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30">
        <f t="shared" ref="O177" si="41">(1100*3.65+200)*O166*1.046</f>
        <v>4408.8900000000003</v>
      </c>
      <c r="P177" s="30">
        <f>(1100*3.65+200)*P166*1.046*3</f>
        <v>26453.340000000004</v>
      </c>
      <c r="Q177" s="30">
        <f t="shared" ref="Q177:S177" si="42">(1100*3.65+200)*Q166*1.046*3</f>
        <v>26453.340000000004</v>
      </c>
      <c r="R177" s="30">
        <f t="shared" si="42"/>
        <v>26453.340000000004</v>
      </c>
      <c r="S177" s="30">
        <f t="shared" si="42"/>
        <v>26453.340000000004</v>
      </c>
      <c r="T177" s="30">
        <f>(1100*3.65+200)*T166*1.046*12</f>
        <v>105813.36000000002</v>
      </c>
      <c r="U177" s="100" t="s">
        <v>219</v>
      </c>
    </row>
    <row r="178" spans="1:41" ht="15.75" customHeight="1" outlineLevel="2" x14ac:dyDescent="0.15">
      <c r="B178" s="117" t="s">
        <v>148</v>
      </c>
      <c r="C178" s="101" t="s">
        <v>170</v>
      </c>
      <c r="D178" s="30">
        <f t="shared" ref="D178:H178" si="43">75*SUM(D165:D168)</f>
        <v>225</v>
      </c>
      <c r="E178" s="30">
        <f t="shared" si="43"/>
        <v>225</v>
      </c>
      <c r="F178" s="30">
        <f t="shared" si="43"/>
        <v>300</v>
      </c>
      <c r="G178" s="30">
        <f t="shared" si="43"/>
        <v>300</v>
      </c>
      <c r="H178" s="30">
        <f t="shared" si="43"/>
        <v>300</v>
      </c>
      <c r="I178" s="30">
        <f>75*SUM(I165:I168)</f>
        <v>300</v>
      </c>
      <c r="J178" s="30">
        <f>75*SUM(J165:J168)</f>
        <v>300</v>
      </c>
      <c r="K178" s="30">
        <f t="shared" ref="K178:O178" si="44">75*SUM(K165:K168)</f>
        <v>300</v>
      </c>
      <c r="L178" s="30">
        <f t="shared" si="44"/>
        <v>300</v>
      </c>
      <c r="M178" s="30">
        <f t="shared" si="44"/>
        <v>300</v>
      </c>
      <c r="N178" s="30">
        <f t="shared" si="44"/>
        <v>300</v>
      </c>
      <c r="O178" s="30">
        <f t="shared" si="44"/>
        <v>300</v>
      </c>
      <c r="P178" s="30">
        <f t="shared" ref="P178:S178" si="45">75*SUM(P165:P168)*3</f>
        <v>1575</v>
      </c>
      <c r="Q178" s="30">
        <f t="shared" si="45"/>
        <v>1575</v>
      </c>
      <c r="R178" s="30">
        <f t="shared" si="45"/>
        <v>1575</v>
      </c>
      <c r="S178" s="30">
        <f t="shared" si="45"/>
        <v>1575</v>
      </c>
      <c r="T178" s="30">
        <f>75*SUM(T165:T168)*12</f>
        <v>6300</v>
      </c>
      <c r="U178" s="100" t="s">
        <v>220</v>
      </c>
      <c r="V178" s="10"/>
    </row>
    <row r="179" spans="1:41" ht="15.75" customHeight="1" outlineLevel="2" x14ac:dyDescent="0.15">
      <c r="B179" s="117" t="s">
        <v>149</v>
      </c>
      <c r="C179" s="101" t="s">
        <v>117</v>
      </c>
      <c r="D179" s="24">
        <v>0</v>
      </c>
      <c r="E179" s="24">
        <v>0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80">
        <f t="shared" ref="O179" si="46">O166*1000</f>
        <v>1000</v>
      </c>
      <c r="P179" s="30">
        <f>O179*3</f>
        <v>3000</v>
      </c>
      <c r="Q179" s="30">
        <f>O179*3</f>
        <v>3000</v>
      </c>
      <c r="R179" s="30">
        <f>O179*3</f>
        <v>3000</v>
      </c>
      <c r="S179" s="30">
        <f>O179*3</f>
        <v>3000</v>
      </c>
      <c r="T179" s="30">
        <f>O179*12</f>
        <v>12000</v>
      </c>
      <c r="U179" s="100" t="s">
        <v>221</v>
      </c>
    </row>
    <row r="180" spans="1:41" ht="15.75" customHeight="1" outlineLevel="1" x14ac:dyDescent="0.15">
      <c r="C180" s="9"/>
    </row>
    <row r="181" spans="1:41" ht="15.75" customHeight="1" outlineLevel="1" x14ac:dyDescent="0.15">
      <c r="C181" s="9"/>
      <c r="U181" s="13"/>
    </row>
    <row r="182" spans="1:41" ht="15.75" customHeight="1" outlineLevel="2" x14ac:dyDescent="0.15">
      <c r="B182" s="120" t="s">
        <v>114</v>
      </c>
      <c r="C182" s="9"/>
      <c r="D182" s="20" t="s">
        <v>17</v>
      </c>
      <c r="E182" s="20" t="s">
        <v>18</v>
      </c>
      <c r="F182" s="20" t="s">
        <v>19</v>
      </c>
      <c r="G182" s="20" t="s">
        <v>20</v>
      </c>
      <c r="H182" s="20" t="s">
        <v>21</v>
      </c>
      <c r="I182" s="20" t="s">
        <v>22</v>
      </c>
      <c r="J182" s="20" t="s">
        <v>23</v>
      </c>
      <c r="K182" s="20" t="s">
        <v>24</v>
      </c>
      <c r="L182" s="20" t="s">
        <v>25</v>
      </c>
      <c r="M182" s="20" t="s">
        <v>26</v>
      </c>
      <c r="N182" s="20" t="s">
        <v>27</v>
      </c>
      <c r="O182" s="20" t="s">
        <v>28</v>
      </c>
      <c r="P182" s="20" t="s">
        <v>29</v>
      </c>
      <c r="Q182" s="20" t="s">
        <v>30</v>
      </c>
      <c r="R182" s="20" t="s">
        <v>31</v>
      </c>
      <c r="S182" s="20" t="s">
        <v>32</v>
      </c>
      <c r="T182" s="20" t="s">
        <v>33</v>
      </c>
    </row>
    <row r="183" spans="1:41" ht="15.75" customHeight="1" outlineLevel="2" x14ac:dyDescent="0.15">
      <c r="B183" s="117" t="s">
        <v>115</v>
      </c>
      <c r="C183" s="101" t="s">
        <v>117</v>
      </c>
      <c r="D183" s="24">
        <v>0</v>
      </c>
      <c r="E183" s="24">
        <v>0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25000</v>
      </c>
      <c r="M183" s="24">
        <v>50000</v>
      </c>
      <c r="N183" s="24">
        <v>50000</v>
      </c>
      <c r="O183" s="24">
        <v>50000</v>
      </c>
      <c r="P183" s="30">
        <f t="shared" ref="P183:P184" si="47">O183*3</f>
        <v>150000</v>
      </c>
      <c r="Q183" s="30">
        <f t="shared" ref="Q183:Q184" si="48">O183*3</f>
        <v>150000</v>
      </c>
      <c r="R183" s="30">
        <f>O183*3</f>
        <v>150000</v>
      </c>
      <c r="S183" s="30">
        <f t="shared" ref="S183:S184" si="49">O183*3</f>
        <v>150000</v>
      </c>
      <c r="T183" s="30">
        <f t="shared" ref="T183:T184" si="50">O183*12</f>
        <v>600000</v>
      </c>
      <c r="U183" s="98" t="s">
        <v>222</v>
      </c>
    </row>
    <row r="184" spans="1:41" ht="15.75" customHeight="1" outlineLevel="2" x14ac:dyDescent="0.15">
      <c r="B184" s="117" t="s">
        <v>116</v>
      </c>
      <c r="C184" s="101" t="s">
        <v>117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4">
        <f t="shared" ref="I184:O184" si="51">1000*3</f>
        <v>3000</v>
      </c>
      <c r="J184" s="34">
        <f t="shared" si="51"/>
        <v>3000</v>
      </c>
      <c r="K184" s="34">
        <f t="shared" si="51"/>
        <v>3000</v>
      </c>
      <c r="L184" s="34">
        <f t="shared" si="51"/>
        <v>3000</v>
      </c>
      <c r="M184" s="34">
        <f t="shared" si="51"/>
        <v>3000</v>
      </c>
      <c r="N184" s="34">
        <f t="shared" si="51"/>
        <v>3000</v>
      </c>
      <c r="O184" s="34">
        <f t="shared" si="51"/>
        <v>3000</v>
      </c>
      <c r="P184" s="34">
        <f t="shared" si="47"/>
        <v>9000</v>
      </c>
      <c r="Q184" s="34">
        <f t="shared" si="48"/>
        <v>9000</v>
      </c>
      <c r="R184" s="34">
        <f t="shared" ref="R184" si="52">O184*3</f>
        <v>9000</v>
      </c>
      <c r="S184" s="34">
        <f t="shared" si="49"/>
        <v>9000</v>
      </c>
      <c r="T184" s="34">
        <f t="shared" si="50"/>
        <v>36000</v>
      </c>
      <c r="U184" s="98" t="s">
        <v>38</v>
      </c>
    </row>
    <row r="185" spans="1:41" ht="15.75" customHeight="1" outlineLevel="1" x14ac:dyDescent="0.15">
      <c r="C185" s="9"/>
    </row>
    <row r="186" spans="1:41" ht="15.75" customHeight="1" outlineLevel="1" x14ac:dyDescent="0.15">
      <c r="B186" s="120" t="s">
        <v>118</v>
      </c>
      <c r="C186" s="9"/>
      <c r="D186" s="20" t="s">
        <v>17</v>
      </c>
      <c r="E186" s="20" t="s">
        <v>18</v>
      </c>
      <c r="F186" s="20" t="s">
        <v>19</v>
      </c>
      <c r="G186" s="20" t="s">
        <v>20</v>
      </c>
      <c r="H186" s="20" t="s">
        <v>21</v>
      </c>
      <c r="I186" s="20" t="s">
        <v>22</v>
      </c>
      <c r="J186" s="20" t="s">
        <v>23</v>
      </c>
      <c r="K186" s="20" t="s">
        <v>24</v>
      </c>
      <c r="L186" s="20" t="s">
        <v>25</v>
      </c>
      <c r="M186" s="20" t="s">
        <v>26</v>
      </c>
      <c r="N186" s="20" t="s">
        <v>27</v>
      </c>
      <c r="O186" s="20" t="s">
        <v>28</v>
      </c>
      <c r="P186" s="20" t="s">
        <v>29</v>
      </c>
      <c r="Q186" s="20" t="s">
        <v>30</v>
      </c>
      <c r="R186" s="20" t="s">
        <v>31</v>
      </c>
      <c r="S186" s="20" t="s">
        <v>32</v>
      </c>
      <c r="T186" s="20" t="s">
        <v>33</v>
      </c>
    </row>
    <row r="187" spans="1:41" ht="15.75" customHeight="1" outlineLevel="2" x14ac:dyDescent="0.15">
      <c r="B187" s="117" t="s">
        <v>119</v>
      </c>
      <c r="C187" s="101" t="s">
        <v>117</v>
      </c>
      <c r="D187" s="24">
        <v>0</v>
      </c>
      <c r="E187" s="24">
        <v>0</v>
      </c>
      <c r="F187" s="24">
        <v>0</v>
      </c>
      <c r="G187" s="24">
        <v>0</v>
      </c>
      <c r="H187" s="24">
        <v>0</v>
      </c>
      <c r="I187" s="80">
        <f t="shared" ref="I187:O187" si="53">I166*1000</f>
        <v>1000</v>
      </c>
      <c r="J187" s="80">
        <f t="shared" si="53"/>
        <v>1000</v>
      </c>
      <c r="K187" s="80">
        <f t="shared" si="53"/>
        <v>1000</v>
      </c>
      <c r="L187" s="80">
        <f t="shared" si="53"/>
        <v>1000</v>
      </c>
      <c r="M187" s="80">
        <f t="shared" si="53"/>
        <v>1000</v>
      </c>
      <c r="N187" s="80">
        <f t="shared" si="53"/>
        <v>1000</v>
      </c>
      <c r="O187" s="80">
        <f t="shared" si="53"/>
        <v>1000</v>
      </c>
      <c r="P187" s="80">
        <f>P166*1000*3</f>
        <v>6000</v>
      </c>
      <c r="Q187" s="80">
        <f>Q166*1000*3</f>
        <v>6000</v>
      </c>
      <c r="R187" s="80">
        <f>R166*1000*3</f>
        <v>6000</v>
      </c>
      <c r="S187" s="80">
        <f>S166*1000*3</f>
        <v>6000</v>
      </c>
      <c r="T187" s="80">
        <f>T166*1000*12</f>
        <v>24000</v>
      </c>
      <c r="U187" s="98" t="s">
        <v>223</v>
      </c>
    </row>
    <row r="188" spans="1:41" ht="15.75" customHeight="1" outlineLevel="1" x14ac:dyDescent="0.15">
      <c r="C188" s="9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</row>
    <row r="189" spans="1:41" ht="15.75" customHeight="1" outlineLevel="1" x14ac:dyDescent="0.15">
      <c r="C189" s="9"/>
    </row>
    <row r="190" spans="1:41" ht="15.75" customHeight="1" x14ac:dyDescent="0.2">
      <c r="A190" s="13"/>
      <c r="B190" s="116" t="s">
        <v>150</v>
      </c>
      <c r="C190" s="88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</row>
    <row r="191" spans="1:41" ht="15.75" customHeight="1" outlineLevel="1" x14ac:dyDescent="0.15">
      <c r="C191" s="9"/>
    </row>
    <row r="192" spans="1:41" ht="15.75" customHeight="1" outlineLevel="1" x14ac:dyDescent="0.15">
      <c r="B192" s="120" t="s">
        <v>109</v>
      </c>
      <c r="C192" s="9"/>
      <c r="D192" s="20" t="s">
        <v>17</v>
      </c>
      <c r="E192" s="20" t="s">
        <v>18</v>
      </c>
      <c r="F192" s="20" t="s">
        <v>19</v>
      </c>
      <c r="G192" s="20" t="s">
        <v>20</v>
      </c>
      <c r="H192" s="20" t="s">
        <v>21</v>
      </c>
      <c r="I192" s="20" t="s">
        <v>22</v>
      </c>
      <c r="J192" s="31" t="s">
        <v>23</v>
      </c>
      <c r="K192" s="20" t="s">
        <v>24</v>
      </c>
      <c r="L192" s="20" t="s">
        <v>25</v>
      </c>
      <c r="M192" s="20" t="s">
        <v>26</v>
      </c>
      <c r="N192" s="20" t="s">
        <v>27</v>
      </c>
      <c r="O192" s="20" t="s">
        <v>28</v>
      </c>
      <c r="P192" s="20" t="s">
        <v>29</v>
      </c>
      <c r="Q192" s="20" t="s">
        <v>30</v>
      </c>
      <c r="R192" s="20" t="s">
        <v>31</v>
      </c>
      <c r="S192" s="20" t="s">
        <v>32</v>
      </c>
      <c r="T192" s="20" t="s">
        <v>33</v>
      </c>
    </row>
    <row r="193" spans="2:21" ht="13" outlineLevel="2" x14ac:dyDescent="0.15">
      <c r="B193" s="117" t="s">
        <v>110</v>
      </c>
      <c r="C193" s="9" t="s">
        <v>16</v>
      </c>
      <c r="D193" s="79">
        <v>0.33333333333333331</v>
      </c>
      <c r="E193" s="79">
        <v>0.33333333333333331</v>
      </c>
      <c r="F193" s="79">
        <v>0.33333333333333331</v>
      </c>
      <c r="G193" s="79">
        <v>0.33333333333333331</v>
      </c>
      <c r="H193" s="79">
        <v>0.33333333333333331</v>
      </c>
      <c r="I193" s="79">
        <v>0.33333333333333331</v>
      </c>
      <c r="J193" s="79">
        <v>0.33333333333333331</v>
      </c>
      <c r="K193" s="79">
        <v>0.33333333333333331</v>
      </c>
      <c r="L193" s="79">
        <v>0.33333333333333331</v>
      </c>
      <c r="M193" s="79">
        <v>0.33333333333333331</v>
      </c>
      <c r="N193" s="79">
        <v>0.33333333333333331</v>
      </c>
      <c r="O193" s="79">
        <v>0.33333333333333331</v>
      </c>
      <c r="P193" s="79">
        <v>0.33333333333333331</v>
      </c>
      <c r="Q193" s="79">
        <v>0.33333333333333331</v>
      </c>
      <c r="R193" s="79">
        <v>0.33333333333333331</v>
      </c>
      <c r="S193" s="79">
        <v>0.33333333333333331</v>
      </c>
      <c r="T193" s="79">
        <v>0.33333333333333331</v>
      </c>
      <c r="U193" s="98" t="s">
        <v>199</v>
      </c>
    </row>
    <row r="194" spans="2:21" ht="13" outlineLevel="2" x14ac:dyDescent="0.15">
      <c r="B194" s="117" t="s">
        <v>110</v>
      </c>
      <c r="C194" s="9" t="s">
        <v>35</v>
      </c>
      <c r="D194" s="33">
        <f>D109*D193</f>
        <v>0</v>
      </c>
      <c r="E194" s="33">
        <f>E109*E193</f>
        <v>0</v>
      </c>
      <c r="F194" s="33">
        <f>F109*F193</f>
        <v>0</v>
      </c>
      <c r="G194" s="33">
        <f>G109*G193</f>
        <v>0</v>
      </c>
      <c r="H194" s="33">
        <f>H109*H193</f>
        <v>0</v>
      </c>
      <c r="I194" s="33">
        <f>I109*I193</f>
        <v>0</v>
      </c>
      <c r="J194" s="33">
        <f>J109*J193</f>
        <v>0</v>
      </c>
      <c r="K194" s="33">
        <f>K109*K193</f>
        <v>0</v>
      </c>
      <c r="L194" s="33">
        <f>L109*L193</f>
        <v>0</v>
      </c>
      <c r="M194" s="33">
        <f>M109*M193</f>
        <v>0</v>
      </c>
      <c r="N194" s="33">
        <f>N109*N193</f>
        <v>0</v>
      </c>
      <c r="O194" s="33">
        <f>O109*O193</f>
        <v>0</v>
      </c>
      <c r="P194" s="33">
        <f>P109*P193</f>
        <v>6375</v>
      </c>
      <c r="Q194" s="33">
        <f>Q109*Q193</f>
        <v>39085.125</v>
      </c>
      <c r="R194" s="33">
        <f>R109*R193</f>
        <v>669558.0033000001</v>
      </c>
      <c r="S194" s="33">
        <f>S109*S193</f>
        <v>2143644.059832301</v>
      </c>
      <c r="T194" s="33">
        <f>T109*T193</f>
        <v>10091510.020450661</v>
      </c>
    </row>
    <row r="195" spans="2:21" ht="13" outlineLevel="2" x14ac:dyDescent="0.15">
      <c r="B195" s="117" t="s">
        <v>111</v>
      </c>
      <c r="C195" s="9" t="s">
        <v>16</v>
      </c>
      <c r="D195" s="79">
        <v>0.33333333333333331</v>
      </c>
      <c r="E195" s="79">
        <v>0.33333333333333331</v>
      </c>
      <c r="F195" s="79">
        <v>0.33333333333333331</v>
      </c>
      <c r="G195" s="79">
        <v>0.33333333333333331</v>
      </c>
      <c r="H195" s="79">
        <v>0.33333333333333331</v>
      </c>
      <c r="I195" s="79">
        <v>0.33333333333333331</v>
      </c>
      <c r="J195" s="79">
        <v>0.33333333333333331</v>
      </c>
      <c r="K195" s="79">
        <v>0.33333333333333331</v>
      </c>
      <c r="L195" s="79">
        <v>0.33333333333333331</v>
      </c>
      <c r="M195" s="79">
        <v>0.33333333333333331</v>
      </c>
      <c r="N195" s="79">
        <v>0.33333333333333331</v>
      </c>
      <c r="O195" s="79">
        <v>0.33333333333333331</v>
      </c>
      <c r="P195" s="79">
        <v>0.33333333333333331</v>
      </c>
      <c r="Q195" s="79">
        <v>0.33333333333333331</v>
      </c>
      <c r="R195" s="79">
        <v>0.33333333333333331</v>
      </c>
      <c r="S195" s="79">
        <v>0.33333333333333331</v>
      </c>
      <c r="T195" s="79">
        <v>0.33333333333333331</v>
      </c>
      <c r="U195" s="98" t="s">
        <v>199</v>
      </c>
    </row>
    <row r="196" spans="2:21" ht="13" outlineLevel="2" x14ac:dyDescent="0.15">
      <c r="B196" s="117" t="s">
        <v>111</v>
      </c>
      <c r="C196" s="9" t="s">
        <v>35</v>
      </c>
      <c r="D196" s="33">
        <f>D109*D195</f>
        <v>0</v>
      </c>
      <c r="E196" s="33">
        <f>E109*E195</f>
        <v>0</v>
      </c>
      <c r="F196" s="33">
        <f>F109*F195</f>
        <v>0</v>
      </c>
      <c r="G196" s="33">
        <f>G109*G195</f>
        <v>0</v>
      </c>
      <c r="H196" s="33">
        <f>H109*H195</f>
        <v>0</v>
      </c>
      <c r="I196" s="33">
        <f>I109*I195</f>
        <v>0</v>
      </c>
      <c r="J196" s="33">
        <f>J109*J195</f>
        <v>0</v>
      </c>
      <c r="K196" s="33">
        <f>K109*K195</f>
        <v>0</v>
      </c>
      <c r="L196" s="33">
        <f>L109*L195</f>
        <v>0</v>
      </c>
      <c r="M196" s="33">
        <f>M109*M195</f>
        <v>0</v>
      </c>
      <c r="N196" s="33">
        <f>N109*N195</f>
        <v>0</v>
      </c>
      <c r="O196" s="33">
        <f>O109*O195</f>
        <v>0</v>
      </c>
      <c r="P196" s="33">
        <f>P109*P195</f>
        <v>6375</v>
      </c>
      <c r="Q196" s="33">
        <f>Q109*Q195</f>
        <v>39085.125</v>
      </c>
      <c r="R196" s="33">
        <f>R109*R195</f>
        <v>669558.0033000001</v>
      </c>
      <c r="S196" s="33">
        <f>S109*S195</f>
        <v>2143644.059832301</v>
      </c>
      <c r="T196" s="33">
        <f>T109*T195</f>
        <v>10091510.020450661</v>
      </c>
    </row>
    <row r="197" spans="2:21" ht="15.75" customHeight="1" outlineLevel="1" x14ac:dyDescent="0.15">
      <c r="B197" s="123"/>
      <c r="C197" s="9"/>
    </row>
    <row r="198" spans="2:21" ht="15.75" customHeight="1" outlineLevel="1" x14ac:dyDescent="0.15">
      <c r="B198" s="120" t="s">
        <v>140</v>
      </c>
      <c r="C198" s="9"/>
    </row>
    <row r="199" spans="2:21" ht="15.75" customHeight="1" outlineLevel="2" x14ac:dyDescent="0.15">
      <c r="B199" s="124" t="s">
        <v>141</v>
      </c>
      <c r="C199" s="9"/>
      <c r="D199" s="20" t="s">
        <v>17</v>
      </c>
      <c r="E199" s="20" t="s">
        <v>18</v>
      </c>
      <c r="F199" s="20" t="s">
        <v>19</v>
      </c>
      <c r="G199" s="20" t="s">
        <v>20</v>
      </c>
      <c r="H199" s="20" t="s">
        <v>21</v>
      </c>
      <c r="I199" s="20" t="s">
        <v>22</v>
      </c>
      <c r="J199" s="20" t="s">
        <v>23</v>
      </c>
      <c r="K199" s="20" t="s">
        <v>24</v>
      </c>
      <c r="L199" s="20" t="s">
        <v>25</v>
      </c>
      <c r="M199" s="20" t="s">
        <v>26</v>
      </c>
      <c r="N199" s="20" t="s">
        <v>27</v>
      </c>
      <c r="O199" s="20" t="s">
        <v>28</v>
      </c>
      <c r="P199" s="20" t="s">
        <v>29</v>
      </c>
      <c r="Q199" s="20" t="s">
        <v>30</v>
      </c>
      <c r="R199" s="20" t="s">
        <v>31</v>
      </c>
      <c r="S199" s="20" t="s">
        <v>32</v>
      </c>
      <c r="T199" s="20" t="s">
        <v>33</v>
      </c>
    </row>
    <row r="200" spans="2:21" ht="15.75" customHeight="1" outlineLevel="2" x14ac:dyDescent="0.15">
      <c r="B200" s="117" t="s">
        <v>151</v>
      </c>
      <c r="C200" s="101" t="s">
        <v>168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1</v>
      </c>
      <c r="O200" s="36">
        <v>1</v>
      </c>
      <c r="P200" s="36">
        <v>1</v>
      </c>
      <c r="Q200" s="36">
        <v>2</v>
      </c>
      <c r="R200" s="36">
        <v>2</v>
      </c>
      <c r="S200" s="36">
        <v>3</v>
      </c>
      <c r="T200" s="36">
        <v>3</v>
      </c>
      <c r="U200" s="98" t="s">
        <v>217</v>
      </c>
    </row>
    <row r="201" spans="2:21" ht="15.75" customHeight="1" outlineLevel="2" x14ac:dyDescent="0.15">
      <c r="B201" s="117" t="s">
        <v>152</v>
      </c>
      <c r="C201" s="101" t="s">
        <v>168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1</v>
      </c>
      <c r="M201" s="36">
        <v>1</v>
      </c>
      <c r="N201" s="36">
        <v>1</v>
      </c>
      <c r="O201" s="36">
        <v>1</v>
      </c>
      <c r="P201" s="36">
        <v>1</v>
      </c>
      <c r="Q201" s="36">
        <v>2</v>
      </c>
      <c r="R201" s="36">
        <v>2</v>
      </c>
      <c r="S201" s="36">
        <v>3</v>
      </c>
      <c r="T201" s="36">
        <v>3</v>
      </c>
      <c r="U201" s="98" t="s">
        <v>217</v>
      </c>
    </row>
    <row r="202" spans="2:21" ht="15.75" customHeight="1" outlineLevel="2" x14ac:dyDescent="0.15">
      <c r="B202" s="117" t="s">
        <v>153</v>
      </c>
      <c r="C202" s="101" t="s">
        <v>168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1</v>
      </c>
      <c r="M202" s="36">
        <v>1</v>
      </c>
      <c r="N202" s="36">
        <v>1</v>
      </c>
      <c r="O202" s="36">
        <v>1</v>
      </c>
      <c r="P202" s="36">
        <v>1</v>
      </c>
      <c r="Q202" s="36">
        <v>2</v>
      </c>
      <c r="R202" s="36">
        <v>2</v>
      </c>
      <c r="S202" s="36">
        <v>3</v>
      </c>
      <c r="T202" s="36">
        <v>3</v>
      </c>
      <c r="U202" s="98" t="s">
        <v>217</v>
      </c>
    </row>
    <row r="203" spans="2:21" ht="15.75" customHeight="1" outlineLevel="2" x14ac:dyDescent="0.15">
      <c r="B203" s="117" t="s">
        <v>154</v>
      </c>
      <c r="C203" s="101" t="s">
        <v>168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1</v>
      </c>
      <c r="M203" s="36">
        <v>1</v>
      </c>
      <c r="N203" s="36">
        <v>1</v>
      </c>
      <c r="O203" s="36">
        <v>1</v>
      </c>
      <c r="P203" s="36">
        <v>1</v>
      </c>
      <c r="Q203" s="36">
        <v>1</v>
      </c>
      <c r="R203" s="36">
        <v>1</v>
      </c>
      <c r="S203" s="36">
        <v>1</v>
      </c>
      <c r="T203" s="36">
        <v>1</v>
      </c>
      <c r="U203" s="98" t="s">
        <v>217</v>
      </c>
    </row>
    <row r="204" spans="2:21" ht="15.75" customHeight="1" outlineLevel="2" x14ac:dyDescent="0.15">
      <c r="C204" s="9"/>
    </row>
    <row r="205" spans="2:21" ht="15.75" customHeight="1" outlineLevel="2" x14ac:dyDescent="0.15">
      <c r="B205" s="124" t="s">
        <v>146</v>
      </c>
      <c r="C205" s="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</row>
    <row r="206" spans="2:21" ht="15.75" customHeight="1" outlineLevel="2" x14ac:dyDescent="0.15">
      <c r="B206" s="117" t="s">
        <v>133</v>
      </c>
      <c r="C206" s="101" t="s">
        <v>169</v>
      </c>
      <c r="D206" s="24">
        <v>3185.1942043102399</v>
      </c>
      <c r="E206" s="100" t="s">
        <v>182</v>
      </c>
      <c r="F206" s="26"/>
      <c r="H206" s="26"/>
      <c r="I206" s="26"/>
      <c r="J206" s="26"/>
      <c r="K206" s="26"/>
      <c r="L206" s="26"/>
      <c r="M206" s="26"/>
      <c r="N206" s="26"/>
      <c r="O206" s="26"/>
      <c r="U206" s="98" t="s">
        <v>218</v>
      </c>
    </row>
    <row r="207" spans="2:21" ht="15.75" customHeight="1" outlineLevel="2" x14ac:dyDescent="0.15">
      <c r="B207" s="117" t="s">
        <v>136</v>
      </c>
      <c r="C207" s="101" t="s">
        <v>169</v>
      </c>
      <c r="D207" s="24">
        <v>10417.630585656885</v>
      </c>
      <c r="E207" s="100" t="s">
        <v>183</v>
      </c>
      <c r="F207" s="26"/>
      <c r="H207" s="26"/>
      <c r="I207" s="26"/>
      <c r="J207" s="26"/>
      <c r="K207" s="26"/>
      <c r="L207" s="26"/>
      <c r="M207" s="26"/>
      <c r="N207" s="26"/>
      <c r="O207" s="26"/>
      <c r="U207" s="98" t="s">
        <v>218</v>
      </c>
    </row>
    <row r="208" spans="2:21" ht="15.75" customHeight="1" outlineLevel="2" x14ac:dyDescent="0.15">
      <c r="B208" s="117" t="s">
        <v>137</v>
      </c>
      <c r="C208" s="101" t="s">
        <v>169</v>
      </c>
      <c r="D208" s="24">
        <v>4032.6311944478271</v>
      </c>
      <c r="E208" s="100" t="s">
        <v>184</v>
      </c>
      <c r="F208" s="26"/>
      <c r="H208" s="26"/>
      <c r="I208" s="26"/>
      <c r="J208" s="26"/>
      <c r="K208" s="26"/>
      <c r="L208" s="26"/>
      <c r="M208" s="26"/>
      <c r="N208" s="26"/>
      <c r="O208" s="26"/>
      <c r="U208" s="98" t="s">
        <v>218</v>
      </c>
    </row>
    <row r="209" spans="2:22" ht="15.75" customHeight="1" outlineLevel="2" x14ac:dyDescent="0.15">
      <c r="B209" s="117" t="s">
        <v>147</v>
      </c>
      <c r="C209" s="101" t="s">
        <v>169</v>
      </c>
      <c r="D209" s="24">
        <v>4514.7936198709367</v>
      </c>
      <c r="E209" s="100" t="s">
        <v>185</v>
      </c>
      <c r="F209" s="26"/>
      <c r="H209" s="26"/>
      <c r="I209" s="26"/>
      <c r="J209" s="26"/>
      <c r="K209" s="26"/>
      <c r="L209" s="26"/>
      <c r="M209" s="26"/>
      <c r="N209" s="26"/>
      <c r="O209" s="26"/>
      <c r="U209" s="98" t="s">
        <v>218</v>
      </c>
    </row>
    <row r="210" spans="2:22" ht="15.75" customHeight="1" outlineLevel="1" x14ac:dyDescent="0.15">
      <c r="C210" s="9"/>
    </row>
    <row r="211" spans="2:22" ht="15.75" customHeight="1" outlineLevel="1" x14ac:dyDescent="0.15">
      <c r="B211" s="120" t="s">
        <v>112</v>
      </c>
      <c r="C211" s="9"/>
      <c r="D211" s="20" t="s">
        <v>17</v>
      </c>
      <c r="E211" s="20" t="s">
        <v>18</v>
      </c>
      <c r="F211" s="20" t="s">
        <v>19</v>
      </c>
      <c r="G211" s="20" t="s">
        <v>20</v>
      </c>
      <c r="H211" s="20" t="s">
        <v>21</v>
      </c>
      <c r="I211" s="20" t="s">
        <v>22</v>
      </c>
      <c r="J211" s="20" t="s">
        <v>23</v>
      </c>
      <c r="K211" s="20" t="s">
        <v>24</v>
      </c>
      <c r="L211" s="20" t="s">
        <v>25</v>
      </c>
      <c r="M211" s="20" t="s">
        <v>26</v>
      </c>
      <c r="N211" s="20" t="s">
        <v>27</v>
      </c>
      <c r="O211" s="20" t="s">
        <v>28</v>
      </c>
      <c r="P211" s="20" t="s">
        <v>29</v>
      </c>
      <c r="Q211" s="20" t="s">
        <v>30</v>
      </c>
      <c r="R211" s="20" t="s">
        <v>31</v>
      </c>
      <c r="S211" s="20" t="s">
        <v>32</v>
      </c>
      <c r="T211" s="20" t="s">
        <v>33</v>
      </c>
    </row>
    <row r="212" spans="2:22" ht="15.75" customHeight="1" outlineLevel="2" x14ac:dyDescent="0.15">
      <c r="B212" s="117" t="s">
        <v>113</v>
      </c>
      <c r="C212" s="101" t="s">
        <v>117</v>
      </c>
      <c r="D212" s="24">
        <v>0</v>
      </c>
      <c r="E212" s="24">
        <v>0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30">
        <f>750*L201*1.046</f>
        <v>784.5</v>
      </c>
      <c r="M212" s="30">
        <f t="shared" ref="M212:O212" si="54">750*M201*1.046</f>
        <v>784.5</v>
      </c>
      <c r="N212" s="30">
        <f t="shared" si="54"/>
        <v>784.5</v>
      </c>
      <c r="O212" s="30">
        <f t="shared" si="54"/>
        <v>784.5</v>
      </c>
      <c r="P212" s="30">
        <f>750*P201*1.046*3</f>
        <v>2353.5</v>
      </c>
      <c r="Q212" s="30">
        <f>750*Q201*3*1.046</f>
        <v>4707</v>
      </c>
      <c r="R212" s="30">
        <f>750*R201*3*1.046</f>
        <v>4707</v>
      </c>
      <c r="S212" s="30">
        <f>750*S201*3*1.046</f>
        <v>7060.5</v>
      </c>
      <c r="T212" s="30">
        <f>750*T201*12*1.046</f>
        <v>28242</v>
      </c>
      <c r="U212" s="100" t="s">
        <v>224</v>
      </c>
    </row>
    <row r="213" spans="2:22" ht="15.75" customHeight="1" outlineLevel="2" x14ac:dyDescent="0.15">
      <c r="B213" s="117" t="s">
        <v>148</v>
      </c>
      <c r="C213" s="101" t="s">
        <v>170</v>
      </c>
      <c r="D213" s="24">
        <v>0</v>
      </c>
      <c r="E213" s="24">
        <v>0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30">
        <f>50*SUM(L200:L203)</f>
        <v>150</v>
      </c>
      <c r="M213" s="30">
        <f t="shared" ref="M213:O213" si="55">50*SUM(M200:M203)</f>
        <v>150</v>
      </c>
      <c r="N213" s="30">
        <f t="shared" si="55"/>
        <v>200</v>
      </c>
      <c r="O213" s="30">
        <f t="shared" si="55"/>
        <v>200</v>
      </c>
      <c r="P213" s="30">
        <f t="shared" ref="P213:S213" si="56">50*SUM(P200:P203)*3</f>
        <v>600</v>
      </c>
      <c r="Q213" s="30">
        <f t="shared" si="56"/>
        <v>1050</v>
      </c>
      <c r="R213" s="30">
        <f t="shared" si="56"/>
        <v>1050</v>
      </c>
      <c r="S213" s="30">
        <f t="shared" si="56"/>
        <v>1500</v>
      </c>
      <c r="T213" s="30">
        <f>50*SUM(T200:T203)*12</f>
        <v>6000</v>
      </c>
      <c r="U213" s="100" t="s">
        <v>225</v>
      </c>
      <c r="V213" s="10"/>
    </row>
    <row r="214" spans="2:22" ht="15.75" customHeight="1" outlineLevel="2" x14ac:dyDescent="0.15">
      <c r="B214" s="117" t="s">
        <v>149</v>
      </c>
      <c r="C214" s="101" t="s">
        <v>117</v>
      </c>
      <c r="D214" s="24">
        <v>0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30">
        <f>1000*L201</f>
        <v>1000</v>
      </c>
      <c r="M214" s="30">
        <f t="shared" ref="M214:N214" si="57">1000*M201</f>
        <v>1000</v>
      </c>
      <c r="N214" s="30">
        <f t="shared" si="57"/>
        <v>1000</v>
      </c>
      <c r="O214" s="30">
        <f>1000*O201</f>
        <v>1000</v>
      </c>
      <c r="P214" s="30">
        <f>1000*P201*3</f>
        <v>3000</v>
      </c>
      <c r="Q214" s="30">
        <f>1000*Q201*3</f>
        <v>6000</v>
      </c>
      <c r="R214" s="30">
        <f t="shared" ref="R214:S214" si="58">1000*R201*3</f>
        <v>6000</v>
      </c>
      <c r="S214" s="30">
        <f t="shared" si="58"/>
        <v>9000</v>
      </c>
      <c r="T214" s="30">
        <f>1000*T201*12</f>
        <v>36000</v>
      </c>
      <c r="U214" s="100" t="s">
        <v>221</v>
      </c>
    </row>
    <row r="215" spans="2:22" ht="15.75" customHeight="1" outlineLevel="1" x14ac:dyDescent="0.15">
      <c r="C215" s="9"/>
    </row>
    <row r="216" spans="2:22" ht="15.75" customHeight="1" outlineLevel="1" x14ac:dyDescent="0.15">
      <c r="C216" s="9"/>
      <c r="U216" s="13"/>
    </row>
    <row r="217" spans="2:22" ht="15.75" customHeight="1" outlineLevel="2" x14ac:dyDescent="0.15">
      <c r="B217" s="120" t="s">
        <v>114</v>
      </c>
      <c r="C217" s="9"/>
      <c r="D217" s="20" t="s">
        <v>17</v>
      </c>
      <c r="E217" s="20" t="s">
        <v>18</v>
      </c>
      <c r="F217" s="20" t="s">
        <v>19</v>
      </c>
      <c r="G217" s="20" t="s">
        <v>20</v>
      </c>
      <c r="H217" s="20" t="s">
        <v>21</v>
      </c>
      <c r="I217" s="20" t="s">
        <v>22</v>
      </c>
      <c r="J217" s="20" t="s">
        <v>23</v>
      </c>
      <c r="K217" s="20" t="s">
        <v>24</v>
      </c>
      <c r="L217" s="20" t="s">
        <v>25</v>
      </c>
      <c r="M217" s="20" t="s">
        <v>26</v>
      </c>
      <c r="N217" s="20" t="s">
        <v>27</v>
      </c>
      <c r="O217" s="20" t="s">
        <v>28</v>
      </c>
      <c r="P217" s="20" t="s">
        <v>29</v>
      </c>
      <c r="Q217" s="20" t="s">
        <v>30</v>
      </c>
      <c r="R217" s="20" t="s">
        <v>31</v>
      </c>
      <c r="S217" s="20" t="s">
        <v>32</v>
      </c>
      <c r="T217" s="20" t="s">
        <v>33</v>
      </c>
    </row>
    <row r="218" spans="2:22" ht="15.75" customHeight="1" outlineLevel="2" x14ac:dyDescent="0.15">
      <c r="B218" s="117" t="s">
        <v>115</v>
      </c>
      <c r="C218" s="101" t="s">
        <v>117</v>
      </c>
      <c r="D218" s="24">
        <v>0</v>
      </c>
      <c r="E218" s="24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150000</v>
      </c>
      <c r="O218" s="24">
        <v>150000</v>
      </c>
      <c r="P218" s="32">
        <v>150000</v>
      </c>
      <c r="Q218" s="32">
        <v>150000</v>
      </c>
      <c r="R218" s="32">
        <f t="shared" ref="R218:S218" si="59">50000*3</f>
        <v>150000</v>
      </c>
      <c r="S218" s="32">
        <f t="shared" si="59"/>
        <v>150000</v>
      </c>
      <c r="T218" s="32">
        <f>L218*12</f>
        <v>0</v>
      </c>
      <c r="U218" s="98" t="s">
        <v>226</v>
      </c>
    </row>
    <row r="219" spans="2:22" ht="15.75" customHeight="1" outlineLevel="2" x14ac:dyDescent="0.15">
      <c r="B219" s="117" t="s">
        <v>116</v>
      </c>
      <c r="C219" s="101" t="s">
        <v>117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4">
        <f t="shared" ref="M219:O219" si="60">1000*3</f>
        <v>3000</v>
      </c>
      <c r="N219" s="34">
        <f t="shared" si="60"/>
        <v>3000</v>
      </c>
      <c r="O219" s="34">
        <f t="shared" si="60"/>
        <v>3000</v>
      </c>
      <c r="P219" s="34">
        <f t="shared" ref="P219:S219" si="61">1000*3*3</f>
        <v>9000</v>
      </c>
      <c r="Q219" s="34">
        <f t="shared" si="61"/>
        <v>9000</v>
      </c>
      <c r="R219" s="34">
        <f t="shared" si="61"/>
        <v>9000</v>
      </c>
      <c r="S219" s="34">
        <f t="shared" si="61"/>
        <v>9000</v>
      </c>
      <c r="T219" s="34">
        <f>3000*12</f>
        <v>36000</v>
      </c>
      <c r="U219" s="98" t="s">
        <v>38</v>
      </c>
    </row>
    <row r="220" spans="2:22" ht="15.75" customHeight="1" outlineLevel="1" x14ac:dyDescent="0.15">
      <c r="C220" s="9"/>
    </row>
    <row r="221" spans="2:22" ht="15.75" customHeight="1" outlineLevel="1" x14ac:dyDescent="0.15">
      <c r="B221" s="120" t="s">
        <v>118</v>
      </c>
      <c r="C221" s="9"/>
      <c r="D221" s="20" t="s">
        <v>17</v>
      </c>
      <c r="E221" s="20" t="s">
        <v>18</v>
      </c>
      <c r="F221" s="20" t="s">
        <v>19</v>
      </c>
      <c r="G221" s="20" t="s">
        <v>20</v>
      </c>
      <c r="H221" s="20" t="s">
        <v>21</v>
      </c>
      <c r="I221" s="20" t="s">
        <v>22</v>
      </c>
      <c r="J221" s="20" t="s">
        <v>23</v>
      </c>
      <c r="K221" s="20" t="s">
        <v>24</v>
      </c>
      <c r="L221" s="20" t="s">
        <v>25</v>
      </c>
      <c r="M221" s="20" t="s">
        <v>26</v>
      </c>
      <c r="N221" s="20" t="s">
        <v>27</v>
      </c>
      <c r="O221" s="20" t="s">
        <v>28</v>
      </c>
      <c r="P221" s="20" t="s">
        <v>29</v>
      </c>
      <c r="Q221" s="20" t="s">
        <v>30</v>
      </c>
      <c r="R221" s="20" t="s">
        <v>31</v>
      </c>
      <c r="S221" s="20" t="s">
        <v>32</v>
      </c>
      <c r="T221" s="20" t="s">
        <v>33</v>
      </c>
    </row>
    <row r="222" spans="2:22" ht="15.75" customHeight="1" outlineLevel="2" x14ac:dyDescent="0.15">
      <c r="B222" s="117" t="s">
        <v>119</v>
      </c>
      <c r="C222" s="101" t="s">
        <v>117</v>
      </c>
      <c r="D222" s="24">
        <v>0</v>
      </c>
      <c r="E222" s="24">
        <v>0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80">
        <f>L201*1000</f>
        <v>1000</v>
      </c>
      <c r="M222" s="80">
        <f t="shared" ref="M222:O222" si="62">M201*1000</f>
        <v>1000</v>
      </c>
      <c r="N222" s="80">
        <f t="shared" si="62"/>
        <v>1000</v>
      </c>
      <c r="O222" s="80">
        <f t="shared" si="62"/>
        <v>1000</v>
      </c>
      <c r="P222" s="30">
        <f>1000*P201*3</f>
        <v>3000</v>
      </c>
      <c r="Q222" s="30">
        <f t="shared" ref="Q222:R222" si="63">1000*Q201*3</f>
        <v>6000</v>
      </c>
      <c r="R222" s="30">
        <f t="shared" si="63"/>
        <v>6000</v>
      </c>
      <c r="S222" s="30">
        <f>1000*S201*3</f>
        <v>9000</v>
      </c>
      <c r="T222" s="30">
        <f>1000*T201*12</f>
        <v>36000</v>
      </c>
      <c r="U222" s="98" t="s">
        <v>223</v>
      </c>
    </row>
    <row r="223" spans="2:22" ht="15.75" customHeight="1" outlineLevel="1" x14ac:dyDescent="0.15">
      <c r="C223" s="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pans="2:22" ht="15.75" customHeight="1" outlineLevel="1" x14ac:dyDescent="0.15">
      <c r="B224" s="123"/>
      <c r="C224" s="9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U224" s="13"/>
    </row>
    <row r="225" spans="1:41" ht="15.75" customHeight="1" outlineLevel="1" x14ac:dyDescent="0.15">
      <c r="B225" s="120" t="s">
        <v>155</v>
      </c>
      <c r="C225" s="9" t="s">
        <v>16</v>
      </c>
      <c r="D225" s="73">
        <v>1.4999999999999999E-2</v>
      </c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U225" s="98" t="s">
        <v>227</v>
      </c>
    </row>
    <row r="226" spans="1:41" ht="15.75" customHeight="1" outlineLevel="1" x14ac:dyDescent="0.15">
      <c r="C226" s="9"/>
    </row>
    <row r="227" spans="1:41" ht="15.75" customHeight="1" x14ac:dyDescent="0.2">
      <c r="A227" s="13"/>
      <c r="B227" s="125" t="s">
        <v>39</v>
      </c>
      <c r="C227" s="88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</row>
    <row r="228" spans="1:41" ht="15.75" customHeight="1" outlineLevel="1" x14ac:dyDescent="0.15">
      <c r="C228" s="9"/>
    </row>
    <row r="229" spans="1:41" ht="15.75" customHeight="1" outlineLevel="1" x14ac:dyDescent="0.15">
      <c r="B229" s="120" t="s">
        <v>156</v>
      </c>
      <c r="C229" s="9"/>
    </row>
    <row r="230" spans="1:41" ht="15.75" customHeight="1" outlineLevel="1" x14ac:dyDescent="0.15">
      <c r="B230" s="117" t="s">
        <v>157</v>
      </c>
      <c r="C230" s="101" t="s">
        <v>171</v>
      </c>
      <c r="D230" s="24">
        <v>3000</v>
      </c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U230" s="98" t="s">
        <v>228</v>
      </c>
    </row>
    <row r="231" spans="1:41" ht="15.75" customHeight="1" outlineLevel="1" x14ac:dyDescent="0.15">
      <c r="B231" s="117" t="s">
        <v>158</v>
      </c>
      <c r="C231" s="9" t="s">
        <v>16</v>
      </c>
      <c r="D231" s="16">
        <v>0.2</v>
      </c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U231" s="98" t="s">
        <v>229</v>
      </c>
    </row>
    <row r="232" spans="1:41" ht="15.75" customHeight="1" outlineLevel="1" x14ac:dyDescent="0.15">
      <c r="B232" s="123"/>
      <c r="C232" s="9"/>
    </row>
    <row r="233" spans="1:41" ht="15.75" customHeight="1" x14ac:dyDescent="0.15">
      <c r="C233" s="9"/>
    </row>
    <row r="234" spans="1:41" ht="15.75" customHeight="1" x14ac:dyDescent="0.15">
      <c r="C234" s="9"/>
    </row>
    <row r="235" spans="1:41" ht="15.75" customHeight="1" x14ac:dyDescent="0.15">
      <c r="C235" s="9"/>
    </row>
    <row r="236" spans="1:41" ht="15.75" customHeight="1" x14ac:dyDescent="0.15">
      <c r="C236" s="9"/>
    </row>
    <row r="237" spans="1:41" ht="15.75" customHeight="1" x14ac:dyDescent="0.15">
      <c r="C237" s="9"/>
    </row>
    <row r="238" spans="1:41" ht="15.75" customHeight="1" x14ac:dyDescent="0.15">
      <c r="C238" s="9"/>
    </row>
    <row r="239" spans="1:41" ht="15.75" customHeight="1" x14ac:dyDescent="0.15">
      <c r="C239" s="9"/>
    </row>
    <row r="240" spans="1:41" ht="15.75" customHeight="1" x14ac:dyDescent="0.15">
      <c r="C240" s="9"/>
    </row>
    <row r="241" spans="3:3" ht="15.75" customHeight="1" x14ac:dyDescent="0.15">
      <c r="C241" s="9"/>
    </row>
    <row r="242" spans="3:3" ht="15.75" customHeight="1" x14ac:dyDescent="0.15">
      <c r="C242" s="9"/>
    </row>
    <row r="243" spans="3:3" ht="15.75" customHeight="1" x14ac:dyDescent="0.15">
      <c r="C243" s="9"/>
    </row>
    <row r="244" spans="3:3" ht="15.75" customHeight="1" x14ac:dyDescent="0.15">
      <c r="C244" s="9"/>
    </row>
    <row r="245" spans="3:3" ht="15.75" customHeight="1" x14ac:dyDescent="0.15">
      <c r="C245" s="9"/>
    </row>
    <row r="246" spans="3:3" ht="15.75" customHeight="1" x14ac:dyDescent="0.15">
      <c r="C246" s="9"/>
    </row>
    <row r="247" spans="3:3" ht="15.75" customHeight="1" x14ac:dyDescent="0.15">
      <c r="C247" s="9"/>
    </row>
    <row r="248" spans="3:3" ht="15.75" customHeight="1" x14ac:dyDescent="0.15">
      <c r="C248" s="9"/>
    </row>
    <row r="249" spans="3:3" ht="15.75" customHeight="1" x14ac:dyDescent="0.15">
      <c r="C249" s="9"/>
    </row>
    <row r="250" spans="3:3" ht="15.75" customHeight="1" x14ac:dyDescent="0.15">
      <c r="C250" s="9"/>
    </row>
    <row r="251" spans="3:3" ht="15.75" customHeight="1" x14ac:dyDescent="0.15">
      <c r="C251" s="9"/>
    </row>
    <row r="252" spans="3:3" ht="15.75" customHeight="1" x14ac:dyDescent="0.15">
      <c r="C252" s="9"/>
    </row>
    <row r="253" spans="3:3" ht="15.75" customHeight="1" x14ac:dyDescent="0.15">
      <c r="C253" s="9"/>
    </row>
    <row r="254" spans="3:3" ht="15.75" customHeight="1" x14ac:dyDescent="0.15">
      <c r="C254" s="9"/>
    </row>
    <row r="255" spans="3:3" ht="15.75" customHeight="1" x14ac:dyDescent="0.15">
      <c r="C255" s="9"/>
    </row>
    <row r="256" spans="3:3" ht="15.75" customHeight="1" x14ac:dyDescent="0.15">
      <c r="C256" s="9"/>
    </row>
    <row r="257" spans="3:3" ht="15.75" customHeight="1" x14ac:dyDescent="0.15">
      <c r="C257" s="9"/>
    </row>
    <row r="258" spans="3:3" ht="15.75" customHeight="1" x14ac:dyDescent="0.15">
      <c r="C258" s="9"/>
    </row>
    <row r="259" spans="3:3" ht="15.75" customHeight="1" x14ac:dyDescent="0.15">
      <c r="C259" s="9"/>
    </row>
    <row r="260" spans="3:3" ht="15.75" customHeight="1" x14ac:dyDescent="0.15">
      <c r="C260" s="9"/>
    </row>
    <row r="261" spans="3:3" ht="15.75" customHeight="1" x14ac:dyDescent="0.15">
      <c r="C261" s="9"/>
    </row>
    <row r="262" spans="3:3" ht="15.75" customHeight="1" x14ac:dyDescent="0.15">
      <c r="C262" s="9"/>
    </row>
    <row r="263" spans="3:3" ht="15.75" customHeight="1" x14ac:dyDescent="0.15">
      <c r="C263" s="9"/>
    </row>
    <row r="264" spans="3:3" ht="15.75" customHeight="1" x14ac:dyDescent="0.15">
      <c r="C264" s="9"/>
    </row>
    <row r="265" spans="3:3" ht="15.75" customHeight="1" x14ac:dyDescent="0.15">
      <c r="C265" s="9"/>
    </row>
    <row r="266" spans="3:3" ht="15.75" customHeight="1" x14ac:dyDescent="0.15">
      <c r="C266" s="9"/>
    </row>
    <row r="267" spans="3:3" ht="15.75" customHeight="1" x14ac:dyDescent="0.15">
      <c r="C267" s="9"/>
    </row>
    <row r="268" spans="3:3" ht="15.75" customHeight="1" x14ac:dyDescent="0.15">
      <c r="C268" s="9"/>
    </row>
    <row r="269" spans="3:3" ht="15.75" customHeight="1" x14ac:dyDescent="0.15">
      <c r="C269" s="9"/>
    </row>
    <row r="270" spans="3:3" ht="15.75" customHeight="1" x14ac:dyDescent="0.15">
      <c r="C270" s="9"/>
    </row>
    <row r="271" spans="3:3" ht="15.75" customHeight="1" x14ac:dyDescent="0.15">
      <c r="C271" s="9"/>
    </row>
    <row r="272" spans="3:3" ht="15.75" customHeight="1" x14ac:dyDescent="0.15">
      <c r="C272" s="9"/>
    </row>
    <row r="273" spans="3:3" ht="15.75" customHeight="1" x14ac:dyDescent="0.15">
      <c r="C273" s="9"/>
    </row>
    <row r="274" spans="3:3" ht="15.75" customHeight="1" x14ac:dyDescent="0.15">
      <c r="C274" s="9"/>
    </row>
    <row r="275" spans="3:3" ht="15.75" customHeight="1" x14ac:dyDescent="0.15">
      <c r="C275" s="9"/>
    </row>
    <row r="276" spans="3:3" ht="15.75" customHeight="1" x14ac:dyDescent="0.15">
      <c r="C276" s="9"/>
    </row>
    <row r="277" spans="3:3" ht="15.75" customHeight="1" x14ac:dyDescent="0.15">
      <c r="C277" s="9"/>
    </row>
    <row r="278" spans="3:3" ht="15.75" customHeight="1" x14ac:dyDescent="0.15">
      <c r="C278" s="9"/>
    </row>
    <row r="279" spans="3:3" ht="15.75" customHeight="1" x14ac:dyDescent="0.15">
      <c r="C279" s="9"/>
    </row>
    <row r="280" spans="3:3" ht="15.75" customHeight="1" x14ac:dyDescent="0.15">
      <c r="C280" s="9"/>
    </row>
    <row r="281" spans="3:3" ht="15.75" customHeight="1" x14ac:dyDescent="0.15">
      <c r="C281" s="9"/>
    </row>
    <row r="282" spans="3:3" ht="15.75" customHeight="1" x14ac:dyDescent="0.15">
      <c r="C282" s="9"/>
    </row>
    <row r="283" spans="3:3" ht="15.75" customHeight="1" x14ac:dyDescent="0.15">
      <c r="C283" s="9"/>
    </row>
    <row r="284" spans="3:3" ht="15.75" customHeight="1" x14ac:dyDescent="0.15">
      <c r="C284" s="9"/>
    </row>
    <row r="285" spans="3:3" ht="15.75" customHeight="1" x14ac:dyDescent="0.15">
      <c r="C285" s="9"/>
    </row>
    <row r="286" spans="3:3" ht="15.75" customHeight="1" x14ac:dyDescent="0.15">
      <c r="C286" s="9"/>
    </row>
    <row r="287" spans="3:3" ht="15.75" customHeight="1" x14ac:dyDescent="0.15">
      <c r="C287" s="9"/>
    </row>
    <row r="288" spans="3:3" ht="15.75" customHeight="1" x14ac:dyDescent="0.15">
      <c r="C288" s="9"/>
    </row>
    <row r="289" spans="3:3" ht="15.75" customHeight="1" x14ac:dyDescent="0.15">
      <c r="C289" s="9"/>
    </row>
    <row r="290" spans="3:3" ht="15.75" customHeight="1" x14ac:dyDescent="0.15">
      <c r="C290" s="9"/>
    </row>
    <row r="291" spans="3:3" ht="15.75" customHeight="1" x14ac:dyDescent="0.15">
      <c r="C291" s="9"/>
    </row>
    <row r="292" spans="3:3" ht="15.75" customHeight="1" x14ac:dyDescent="0.15">
      <c r="C292" s="9"/>
    </row>
    <row r="293" spans="3:3" ht="15.75" customHeight="1" x14ac:dyDescent="0.15">
      <c r="C293" s="9"/>
    </row>
    <row r="294" spans="3:3" ht="15.75" customHeight="1" x14ac:dyDescent="0.15">
      <c r="C294" s="9"/>
    </row>
    <row r="295" spans="3:3" ht="15.75" customHeight="1" x14ac:dyDescent="0.15">
      <c r="C295" s="9"/>
    </row>
    <row r="296" spans="3:3" ht="15.75" customHeight="1" x14ac:dyDescent="0.15">
      <c r="C296" s="9"/>
    </row>
    <row r="297" spans="3:3" ht="15.75" customHeight="1" x14ac:dyDescent="0.15">
      <c r="C297" s="9"/>
    </row>
    <row r="298" spans="3:3" ht="15.75" customHeight="1" x14ac:dyDescent="0.15">
      <c r="C298" s="9"/>
    </row>
    <row r="299" spans="3:3" ht="15.75" customHeight="1" x14ac:dyDescent="0.15">
      <c r="C299" s="9"/>
    </row>
    <row r="300" spans="3:3" ht="15.75" customHeight="1" x14ac:dyDescent="0.15">
      <c r="C300" s="9"/>
    </row>
    <row r="301" spans="3:3" ht="15.75" customHeight="1" x14ac:dyDescent="0.15">
      <c r="C301" s="9"/>
    </row>
    <row r="302" spans="3:3" ht="15.75" customHeight="1" x14ac:dyDescent="0.15">
      <c r="C302" s="9"/>
    </row>
    <row r="303" spans="3:3" ht="15.75" customHeight="1" x14ac:dyDescent="0.15">
      <c r="C303" s="9"/>
    </row>
    <row r="304" spans="3:3" ht="15.75" customHeight="1" x14ac:dyDescent="0.15">
      <c r="C304" s="9"/>
    </row>
    <row r="305" spans="3:3" ht="15.75" customHeight="1" x14ac:dyDescent="0.15">
      <c r="C305" s="9"/>
    </row>
    <row r="306" spans="3:3" ht="15.75" customHeight="1" x14ac:dyDescent="0.15">
      <c r="C306" s="9"/>
    </row>
    <row r="307" spans="3:3" ht="15.75" customHeight="1" x14ac:dyDescent="0.15">
      <c r="C307" s="9"/>
    </row>
    <row r="308" spans="3:3" ht="15.75" customHeight="1" x14ac:dyDescent="0.15">
      <c r="C308" s="9"/>
    </row>
    <row r="309" spans="3:3" ht="15.75" customHeight="1" x14ac:dyDescent="0.15">
      <c r="C309" s="9"/>
    </row>
    <row r="310" spans="3:3" ht="15.75" customHeight="1" x14ac:dyDescent="0.15">
      <c r="C310" s="9"/>
    </row>
    <row r="311" spans="3:3" ht="15.75" customHeight="1" x14ac:dyDescent="0.15">
      <c r="C311" s="9"/>
    </row>
    <row r="312" spans="3:3" ht="15.75" customHeight="1" x14ac:dyDescent="0.15">
      <c r="C312" s="9"/>
    </row>
    <row r="313" spans="3:3" ht="15.75" customHeight="1" x14ac:dyDescent="0.15">
      <c r="C313" s="9"/>
    </row>
    <row r="314" spans="3:3" ht="15.75" customHeight="1" x14ac:dyDescent="0.15">
      <c r="C314" s="9"/>
    </row>
    <row r="315" spans="3:3" ht="15.75" customHeight="1" x14ac:dyDescent="0.15">
      <c r="C315" s="9"/>
    </row>
    <row r="316" spans="3:3" ht="15.75" customHeight="1" x14ac:dyDescent="0.15">
      <c r="C316" s="9"/>
    </row>
    <row r="317" spans="3:3" ht="15.75" customHeight="1" x14ac:dyDescent="0.15">
      <c r="C317" s="9"/>
    </row>
    <row r="318" spans="3:3" ht="15.75" customHeight="1" x14ac:dyDescent="0.15">
      <c r="C318" s="9"/>
    </row>
    <row r="319" spans="3:3" ht="15.75" customHeight="1" x14ac:dyDescent="0.15">
      <c r="C319" s="9"/>
    </row>
    <row r="320" spans="3:3" ht="15.75" customHeight="1" x14ac:dyDescent="0.15">
      <c r="C320" s="9"/>
    </row>
    <row r="321" spans="3:3" ht="15.75" customHeight="1" x14ac:dyDescent="0.15">
      <c r="C321" s="9"/>
    </row>
    <row r="322" spans="3:3" ht="15.75" customHeight="1" x14ac:dyDescent="0.15">
      <c r="C322" s="9"/>
    </row>
    <row r="323" spans="3:3" ht="15.75" customHeight="1" x14ac:dyDescent="0.15">
      <c r="C323" s="9"/>
    </row>
    <row r="324" spans="3:3" ht="15.75" customHeight="1" x14ac:dyDescent="0.15">
      <c r="C324" s="9"/>
    </row>
    <row r="325" spans="3:3" ht="15.75" customHeight="1" x14ac:dyDescent="0.15">
      <c r="C325" s="9"/>
    </row>
    <row r="326" spans="3:3" ht="15.75" customHeight="1" x14ac:dyDescent="0.15">
      <c r="C326" s="9"/>
    </row>
    <row r="327" spans="3:3" ht="15.75" customHeight="1" x14ac:dyDescent="0.15">
      <c r="C327" s="9"/>
    </row>
    <row r="328" spans="3:3" ht="15.75" customHeight="1" x14ac:dyDescent="0.15">
      <c r="C328" s="9"/>
    </row>
    <row r="329" spans="3:3" ht="15.75" customHeight="1" x14ac:dyDescent="0.15">
      <c r="C329" s="9"/>
    </row>
    <row r="330" spans="3:3" ht="15.75" customHeight="1" x14ac:dyDescent="0.15">
      <c r="C330" s="9"/>
    </row>
    <row r="331" spans="3:3" ht="15.75" customHeight="1" x14ac:dyDescent="0.15">
      <c r="C331" s="9"/>
    </row>
    <row r="332" spans="3:3" ht="15.75" customHeight="1" x14ac:dyDescent="0.15">
      <c r="C332" s="9"/>
    </row>
    <row r="333" spans="3:3" ht="15.75" customHeight="1" x14ac:dyDescent="0.15">
      <c r="C333" s="9"/>
    </row>
    <row r="334" spans="3:3" ht="15.75" customHeight="1" x14ac:dyDescent="0.15">
      <c r="C334" s="9"/>
    </row>
    <row r="335" spans="3:3" ht="15.75" customHeight="1" x14ac:dyDescent="0.15">
      <c r="C335" s="9"/>
    </row>
    <row r="336" spans="3:3" ht="15.75" customHeight="1" x14ac:dyDescent="0.15">
      <c r="C336" s="9"/>
    </row>
    <row r="337" spans="3:3" ht="15.75" customHeight="1" x14ac:dyDescent="0.15">
      <c r="C337" s="9"/>
    </row>
    <row r="338" spans="3:3" ht="15.75" customHeight="1" x14ac:dyDescent="0.15">
      <c r="C338" s="9"/>
    </row>
    <row r="339" spans="3:3" ht="15.75" customHeight="1" x14ac:dyDescent="0.15">
      <c r="C339" s="9"/>
    </row>
    <row r="340" spans="3:3" ht="15.75" customHeight="1" x14ac:dyDescent="0.15">
      <c r="C340" s="9"/>
    </row>
    <row r="341" spans="3:3" ht="15.75" customHeight="1" x14ac:dyDescent="0.15">
      <c r="C341" s="9"/>
    </row>
    <row r="342" spans="3:3" ht="15.75" customHeight="1" x14ac:dyDescent="0.15">
      <c r="C342" s="9"/>
    </row>
    <row r="343" spans="3:3" ht="15.75" customHeight="1" x14ac:dyDescent="0.15">
      <c r="C343" s="9"/>
    </row>
    <row r="344" spans="3:3" ht="15.75" customHeight="1" x14ac:dyDescent="0.15">
      <c r="C344" s="9"/>
    </row>
    <row r="345" spans="3:3" ht="15.75" customHeight="1" x14ac:dyDescent="0.15">
      <c r="C345" s="9"/>
    </row>
    <row r="346" spans="3:3" ht="15.75" customHeight="1" x14ac:dyDescent="0.15">
      <c r="C346" s="9"/>
    </row>
    <row r="347" spans="3:3" ht="15.75" customHeight="1" x14ac:dyDescent="0.15">
      <c r="C347" s="9"/>
    </row>
    <row r="348" spans="3:3" ht="15.75" customHeight="1" x14ac:dyDescent="0.15">
      <c r="C348" s="9"/>
    </row>
    <row r="349" spans="3:3" ht="15.75" customHeight="1" x14ac:dyDescent="0.15">
      <c r="C349" s="9"/>
    </row>
    <row r="350" spans="3:3" ht="15.75" customHeight="1" x14ac:dyDescent="0.15">
      <c r="C350" s="9"/>
    </row>
    <row r="351" spans="3:3" ht="15.75" customHeight="1" x14ac:dyDescent="0.15">
      <c r="C351" s="9"/>
    </row>
    <row r="352" spans="3:3" ht="15.75" customHeight="1" x14ac:dyDescent="0.15">
      <c r="C352" s="9"/>
    </row>
    <row r="353" spans="3:3" ht="15.75" customHeight="1" x14ac:dyDescent="0.15">
      <c r="C353" s="9"/>
    </row>
    <row r="354" spans="3:3" ht="15.75" customHeight="1" x14ac:dyDescent="0.15">
      <c r="C354" s="9"/>
    </row>
    <row r="355" spans="3:3" ht="15.75" customHeight="1" x14ac:dyDescent="0.15">
      <c r="C355" s="9"/>
    </row>
    <row r="356" spans="3:3" ht="15.75" customHeight="1" x14ac:dyDescent="0.15">
      <c r="C356" s="9"/>
    </row>
    <row r="357" spans="3:3" ht="15.75" customHeight="1" x14ac:dyDescent="0.15">
      <c r="C357" s="9"/>
    </row>
    <row r="358" spans="3:3" ht="15.75" customHeight="1" x14ac:dyDescent="0.15">
      <c r="C358" s="9"/>
    </row>
    <row r="359" spans="3:3" ht="15.75" customHeight="1" x14ac:dyDescent="0.15">
      <c r="C359" s="9"/>
    </row>
    <row r="360" spans="3:3" ht="15.75" customHeight="1" x14ac:dyDescent="0.15">
      <c r="C360" s="9"/>
    </row>
    <row r="361" spans="3:3" ht="15.75" customHeight="1" x14ac:dyDescent="0.15">
      <c r="C361" s="9"/>
    </row>
    <row r="362" spans="3:3" ht="15.75" customHeight="1" x14ac:dyDescent="0.15">
      <c r="C362" s="9"/>
    </row>
    <row r="363" spans="3:3" ht="15.75" customHeight="1" x14ac:dyDescent="0.15">
      <c r="C363" s="9"/>
    </row>
    <row r="364" spans="3:3" ht="15.75" customHeight="1" x14ac:dyDescent="0.15">
      <c r="C364" s="9"/>
    </row>
    <row r="365" spans="3:3" ht="15.75" customHeight="1" x14ac:dyDescent="0.15">
      <c r="C365" s="9"/>
    </row>
    <row r="366" spans="3:3" ht="15.75" customHeight="1" x14ac:dyDescent="0.15">
      <c r="C366" s="9"/>
    </row>
    <row r="367" spans="3:3" ht="15.75" customHeight="1" x14ac:dyDescent="0.15">
      <c r="C367" s="9"/>
    </row>
    <row r="368" spans="3:3" ht="15.75" customHeight="1" x14ac:dyDescent="0.15">
      <c r="C368" s="9"/>
    </row>
    <row r="369" spans="3:3" ht="15.75" customHeight="1" x14ac:dyDescent="0.15">
      <c r="C369" s="9"/>
    </row>
    <row r="370" spans="3:3" ht="15.75" customHeight="1" x14ac:dyDescent="0.15">
      <c r="C370" s="9"/>
    </row>
    <row r="371" spans="3:3" ht="15.75" customHeight="1" x14ac:dyDescent="0.15">
      <c r="C371" s="9"/>
    </row>
    <row r="372" spans="3:3" ht="15.75" customHeight="1" x14ac:dyDescent="0.15">
      <c r="C372" s="9"/>
    </row>
    <row r="373" spans="3:3" ht="15.75" customHeight="1" x14ac:dyDescent="0.15">
      <c r="C373" s="9"/>
    </row>
    <row r="374" spans="3:3" ht="15.75" customHeight="1" x14ac:dyDescent="0.15">
      <c r="C374" s="9"/>
    </row>
    <row r="375" spans="3:3" ht="15.75" customHeight="1" x14ac:dyDescent="0.15">
      <c r="C375" s="9"/>
    </row>
    <row r="376" spans="3:3" ht="15.75" customHeight="1" x14ac:dyDescent="0.15">
      <c r="C376" s="9"/>
    </row>
    <row r="377" spans="3:3" ht="15.75" customHeight="1" x14ac:dyDescent="0.15">
      <c r="C377" s="9"/>
    </row>
    <row r="378" spans="3:3" ht="15.75" customHeight="1" x14ac:dyDescent="0.15">
      <c r="C378" s="9"/>
    </row>
    <row r="379" spans="3:3" ht="15.75" customHeight="1" x14ac:dyDescent="0.15">
      <c r="C379" s="9"/>
    </row>
    <row r="380" spans="3:3" ht="15.75" customHeight="1" x14ac:dyDescent="0.15">
      <c r="C380" s="9"/>
    </row>
    <row r="381" spans="3:3" ht="15.75" customHeight="1" x14ac:dyDescent="0.15">
      <c r="C381" s="9"/>
    </row>
    <row r="382" spans="3:3" ht="15.75" customHeight="1" x14ac:dyDescent="0.15">
      <c r="C382" s="9"/>
    </row>
    <row r="383" spans="3:3" ht="15.75" customHeight="1" x14ac:dyDescent="0.15">
      <c r="C383" s="9"/>
    </row>
    <row r="384" spans="3:3" ht="15.75" customHeight="1" x14ac:dyDescent="0.15">
      <c r="C384" s="9"/>
    </row>
    <row r="385" spans="3:3" ht="15.75" customHeight="1" x14ac:dyDescent="0.15">
      <c r="C385" s="9"/>
    </row>
    <row r="386" spans="3:3" ht="15.75" customHeight="1" x14ac:dyDescent="0.15">
      <c r="C386" s="9"/>
    </row>
    <row r="387" spans="3:3" ht="15.75" customHeight="1" x14ac:dyDescent="0.15">
      <c r="C387" s="9"/>
    </row>
    <row r="388" spans="3:3" ht="15.75" customHeight="1" x14ac:dyDescent="0.15">
      <c r="C388" s="9"/>
    </row>
    <row r="389" spans="3:3" ht="15.75" customHeight="1" x14ac:dyDescent="0.15">
      <c r="C389" s="9"/>
    </row>
    <row r="390" spans="3:3" ht="15.75" customHeight="1" x14ac:dyDescent="0.15">
      <c r="C390" s="9"/>
    </row>
    <row r="391" spans="3:3" ht="15.75" customHeight="1" x14ac:dyDescent="0.15">
      <c r="C391" s="9"/>
    </row>
    <row r="392" spans="3:3" ht="15.75" customHeight="1" x14ac:dyDescent="0.15">
      <c r="C392" s="9"/>
    </row>
    <row r="393" spans="3:3" ht="15.75" customHeight="1" x14ac:dyDescent="0.15">
      <c r="C393" s="9"/>
    </row>
    <row r="394" spans="3:3" ht="15.75" customHeight="1" x14ac:dyDescent="0.15">
      <c r="C394" s="9"/>
    </row>
    <row r="395" spans="3:3" ht="15.75" customHeight="1" x14ac:dyDescent="0.15">
      <c r="C395" s="9"/>
    </row>
    <row r="396" spans="3:3" ht="15.75" customHeight="1" x14ac:dyDescent="0.15">
      <c r="C396" s="9"/>
    </row>
    <row r="397" spans="3:3" ht="15.75" customHeight="1" x14ac:dyDescent="0.15">
      <c r="C397" s="9"/>
    </row>
    <row r="398" spans="3:3" ht="15.75" customHeight="1" x14ac:dyDescent="0.15">
      <c r="C398" s="9"/>
    </row>
    <row r="399" spans="3:3" ht="15.75" customHeight="1" x14ac:dyDescent="0.15">
      <c r="C399" s="9"/>
    </row>
    <row r="400" spans="3:3" ht="15.75" customHeight="1" x14ac:dyDescent="0.15">
      <c r="C400" s="9"/>
    </row>
    <row r="401" spans="3:3" ht="15.75" customHeight="1" x14ac:dyDescent="0.15">
      <c r="C401" s="9"/>
    </row>
    <row r="402" spans="3:3" ht="15.75" customHeight="1" x14ac:dyDescent="0.15">
      <c r="C402" s="9"/>
    </row>
    <row r="403" spans="3:3" ht="15.75" customHeight="1" x14ac:dyDescent="0.15">
      <c r="C403" s="9"/>
    </row>
    <row r="404" spans="3:3" ht="15.75" customHeight="1" x14ac:dyDescent="0.15">
      <c r="C404" s="9"/>
    </row>
    <row r="405" spans="3:3" ht="15.75" customHeight="1" x14ac:dyDescent="0.15">
      <c r="C405" s="9"/>
    </row>
    <row r="406" spans="3:3" ht="15.75" customHeight="1" x14ac:dyDescent="0.15">
      <c r="C406" s="9"/>
    </row>
    <row r="407" spans="3:3" ht="15.75" customHeight="1" x14ac:dyDescent="0.15">
      <c r="C407" s="9"/>
    </row>
    <row r="408" spans="3:3" ht="15.75" customHeight="1" x14ac:dyDescent="0.15">
      <c r="C408" s="9"/>
    </row>
    <row r="409" spans="3:3" ht="15.75" customHeight="1" x14ac:dyDescent="0.15">
      <c r="C409" s="9"/>
    </row>
    <row r="410" spans="3:3" ht="15.75" customHeight="1" x14ac:dyDescent="0.15">
      <c r="C410" s="9"/>
    </row>
    <row r="411" spans="3:3" ht="15.75" customHeight="1" x14ac:dyDescent="0.15">
      <c r="C411" s="9"/>
    </row>
    <row r="412" spans="3:3" ht="15.75" customHeight="1" x14ac:dyDescent="0.15">
      <c r="C412" s="9"/>
    </row>
    <row r="413" spans="3:3" ht="15.75" customHeight="1" x14ac:dyDescent="0.15">
      <c r="C413" s="9"/>
    </row>
    <row r="414" spans="3:3" ht="15.75" customHeight="1" x14ac:dyDescent="0.15">
      <c r="C414" s="9"/>
    </row>
    <row r="415" spans="3:3" ht="15.75" customHeight="1" x14ac:dyDescent="0.15">
      <c r="C415" s="9"/>
    </row>
    <row r="416" spans="3:3" ht="15.75" customHeight="1" x14ac:dyDescent="0.15">
      <c r="C416" s="9"/>
    </row>
    <row r="417" spans="3:3" ht="15.75" customHeight="1" x14ac:dyDescent="0.15">
      <c r="C417" s="9"/>
    </row>
    <row r="418" spans="3:3" ht="15.75" customHeight="1" x14ac:dyDescent="0.15">
      <c r="C418" s="9"/>
    </row>
    <row r="419" spans="3:3" ht="15.75" customHeight="1" x14ac:dyDescent="0.15">
      <c r="C419" s="9"/>
    </row>
    <row r="420" spans="3:3" ht="15.75" customHeight="1" x14ac:dyDescent="0.15">
      <c r="C420" s="9"/>
    </row>
    <row r="421" spans="3:3" ht="15.75" customHeight="1" x14ac:dyDescent="0.15">
      <c r="C421" s="9"/>
    </row>
    <row r="422" spans="3:3" ht="15.75" customHeight="1" x14ac:dyDescent="0.15">
      <c r="C422" s="9"/>
    </row>
    <row r="423" spans="3:3" ht="15.75" customHeight="1" x14ac:dyDescent="0.15">
      <c r="C423" s="9"/>
    </row>
    <row r="424" spans="3:3" ht="15.75" customHeight="1" x14ac:dyDescent="0.15">
      <c r="C424" s="9"/>
    </row>
    <row r="425" spans="3:3" ht="15.75" customHeight="1" x14ac:dyDescent="0.15">
      <c r="C425" s="9"/>
    </row>
    <row r="426" spans="3:3" ht="15.75" customHeight="1" x14ac:dyDescent="0.15">
      <c r="C426" s="9"/>
    </row>
    <row r="427" spans="3:3" ht="15.75" customHeight="1" x14ac:dyDescent="0.15">
      <c r="C427" s="9"/>
    </row>
    <row r="428" spans="3:3" ht="15.75" customHeight="1" x14ac:dyDescent="0.15">
      <c r="C428" s="9"/>
    </row>
    <row r="429" spans="3:3" ht="15.75" customHeight="1" x14ac:dyDescent="0.15">
      <c r="C429" s="9"/>
    </row>
    <row r="430" spans="3:3" ht="15.75" customHeight="1" x14ac:dyDescent="0.15">
      <c r="C430" s="9"/>
    </row>
    <row r="431" spans="3:3" ht="15.75" customHeight="1" x14ac:dyDescent="0.15">
      <c r="C431" s="9"/>
    </row>
    <row r="432" spans="3:3" ht="15.75" customHeight="1" x14ac:dyDescent="0.15">
      <c r="C432" s="9"/>
    </row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  <row r="1020" ht="15.75" customHeight="1" x14ac:dyDescent="0.15"/>
    <row r="1021" ht="15.75" customHeight="1" x14ac:dyDescent="0.15"/>
    <row r="1022" ht="15.75" customHeight="1" x14ac:dyDescent="0.15"/>
    <row r="1023" ht="15.75" customHeight="1" x14ac:dyDescent="0.15"/>
    <row r="1024" ht="15.75" customHeight="1" x14ac:dyDescent="0.15"/>
    <row r="1025" ht="15.75" customHeight="1" x14ac:dyDescent="0.15"/>
    <row r="1026" ht="15.75" customHeight="1" x14ac:dyDescent="0.15"/>
    <row r="1027" ht="15.75" customHeight="1" x14ac:dyDescent="0.15"/>
    <row r="1028" ht="15.75" customHeight="1" x14ac:dyDescent="0.15"/>
    <row r="1029" ht="15.75" customHeight="1" x14ac:dyDescent="0.15"/>
    <row r="1030" ht="15.75" customHeight="1" x14ac:dyDescent="0.15"/>
    <row r="1031" ht="15.75" customHeight="1" x14ac:dyDescent="0.15"/>
    <row r="1032" ht="15.75" customHeight="1" x14ac:dyDescent="0.15"/>
    <row r="1033" ht="15.75" customHeight="1" x14ac:dyDescent="0.15"/>
    <row r="1034" ht="15.75" customHeight="1" x14ac:dyDescent="0.15"/>
    <row r="1035" ht="15.75" customHeight="1" x14ac:dyDescent="0.15"/>
    <row r="1036" ht="15.75" customHeight="1" x14ac:dyDescent="0.15"/>
    <row r="1037" ht="15.75" customHeight="1" x14ac:dyDescent="0.15"/>
    <row r="1038" ht="15.75" customHeight="1" x14ac:dyDescent="0.15"/>
    <row r="1039" ht="15.75" customHeight="1" x14ac:dyDescent="0.15"/>
    <row r="1040" ht="15.75" customHeight="1" x14ac:dyDescent="0.15"/>
    <row r="1041" ht="15.75" customHeight="1" x14ac:dyDescent="0.15"/>
    <row r="1042" ht="15.75" customHeight="1" x14ac:dyDescent="0.15"/>
    <row r="1043" ht="15.75" customHeight="1" x14ac:dyDescent="0.15"/>
    <row r="1044" ht="15.75" customHeight="1" x14ac:dyDescent="0.15"/>
    <row r="1045" ht="15.75" customHeight="1" x14ac:dyDescent="0.15"/>
    <row r="1046" ht="15.75" customHeight="1" x14ac:dyDescent="0.15"/>
    <row r="1047" ht="15.75" customHeight="1" x14ac:dyDescent="0.15"/>
    <row r="1048" ht="15.75" customHeight="1" x14ac:dyDescent="0.15"/>
    <row r="1049" ht="15.75" customHeight="1" x14ac:dyDescent="0.15"/>
    <row r="1050" ht="15.75" customHeight="1" x14ac:dyDescent="0.15"/>
    <row r="1051" ht="15.75" customHeight="1" x14ac:dyDescent="0.15"/>
    <row r="1052" ht="15.75" customHeight="1" x14ac:dyDescent="0.15"/>
    <row r="1053" ht="15.75" customHeight="1" x14ac:dyDescent="0.15"/>
    <row r="1054" ht="15.75" customHeight="1" x14ac:dyDescent="0.15"/>
    <row r="1055" ht="15.75" customHeight="1" x14ac:dyDescent="0.15"/>
    <row r="1056" ht="15.75" customHeight="1" x14ac:dyDescent="0.15"/>
    <row r="1057" ht="15.75" customHeight="1" x14ac:dyDescent="0.15"/>
    <row r="1058" ht="15.75" customHeight="1" x14ac:dyDescent="0.15"/>
    <row r="1059" ht="15.75" customHeight="1" x14ac:dyDescent="0.15"/>
    <row r="1060" ht="15.75" customHeight="1" x14ac:dyDescent="0.15"/>
    <row r="1061" ht="15.75" customHeight="1" x14ac:dyDescent="0.15"/>
    <row r="1062" ht="15.75" customHeight="1" x14ac:dyDescent="0.15"/>
    <row r="1063" ht="15.75" customHeight="1" x14ac:dyDescent="0.15"/>
    <row r="1064" ht="15.75" customHeight="1" x14ac:dyDescent="0.15"/>
    <row r="1065" ht="15.75" customHeight="1" x14ac:dyDescent="0.15"/>
    <row r="1066" ht="15.75" customHeight="1" x14ac:dyDescent="0.15"/>
    <row r="1067" ht="15.75" customHeight="1" x14ac:dyDescent="0.15"/>
    <row r="1068" ht="15.75" customHeight="1" x14ac:dyDescent="0.15"/>
    <row r="1069" ht="15.75" customHeight="1" x14ac:dyDescent="0.15"/>
    <row r="1070" ht="15.75" customHeight="1" x14ac:dyDescent="0.15"/>
    <row r="1071" ht="15.75" customHeight="1" x14ac:dyDescent="0.15"/>
    <row r="1072" ht="15.75" customHeight="1" x14ac:dyDescent="0.15"/>
    <row r="1073" ht="15.75" customHeight="1" x14ac:dyDescent="0.15"/>
    <row r="1074" ht="15.75" customHeight="1" x14ac:dyDescent="0.15"/>
    <row r="1075" ht="15.75" customHeight="1" x14ac:dyDescent="0.15"/>
    <row r="1076" ht="15.75" customHeight="1" x14ac:dyDescent="0.15"/>
    <row r="1077" ht="15.75" customHeight="1" x14ac:dyDescent="0.15"/>
    <row r="1078" ht="15.75" customHeight="1" x14ac:dyDescent="0.15"/>
    <row r="1079" ht="15.75" customHeight="1" x14ac:dyDescent="0.15"/>
    <row r="1080" ht="15.75" customHeight="1" x14ac:dyDescent="0.15"/>
    <row r="1081" ht="15.75" customHeight="1" x14ac:dyDescent="0.15"/>
    <row r="1082" ht="15.75" customHeight="1" x14ac:dyDescent="0.15"/>
    <row r="1083" ht="15.75" customHeight="1" x14ac:dyDescent="0.15"/>
    <row r="1084" ht="15.75" customHeight="1" x14ac:dyDescent="0.15"/>
    <row r="1085" ht="15.75" customHeight="1" x14ac:dyDescent="0.15"/>
    <row r="1086" ht="15.75" customHeight="1" x14ac:dyDescent="0.15"/>
    <row r="1087" ht="15.75" customHeight="1" x14ac:dyDescent="0.15"/>
    <row r="1088" ht="15.75" customHeight="1" x14ac:dyDescent="0.15"/>
    <row r="1089" ht="15.75" customHeight="1" x14ac:dyDescent="0.15"/>
    <row r="1090" ht="15.75" customHeight="1" x14ac:dyDescent="0.15"/>
    <row r="1091" ht="15.75" customHeight="1" x14ac:dyDescent="0.15"/>
    <row r="1092" ht="15.75" customHeight="1" x14ac:dyDescent="0.15"/>
    <row r="1093" ht="15.75" customHeight="1" x14ac:dyDescent="0.15"/>
    <row r="1094" ht="15.75" customHeight="1" x14ac:dyDescent="0.15"/>
    <row r="1095" ht="15.75" customHeight="1" x14ac:dyDescent="0.15"/>
    <row r="1096" ht="15.75" customHeight="1" x14ac:dyDescent="0.15"/>
    <row r="1097" ht="15.75" customHeight="1" x14ac:dyDescent="0.15"/>
    <row r="1098" ht="15.75" customHeight="1" x14ac:dyDescent="0.15"/>
    <row r="1099" ht="15.75" customHeight="1" x14ac:dyDescent="0.15"/>
    <row r="1100" ht="15.75" customHeight="1" x14ac:dyDescent="0.15"/>
    <row r="1101" ht="15.75" customHeight="1" x14ac:dyDescent="0.15"/>
    <row r="1102" ht="15.75" customHeight="1" x14ac:dyDescent="0.15"/>
    <row r="1103" ht="15.75" customHeight="1" x14ac:dyDescent="0.15"/>
    <row r="1104" ht="15.75" customHeight="1" x14ac:dyDescent="0.15"/>
    <row r="1105" ht="15.75" customHeight="1" x14ac:dyDescent="0.15"/>
    <row r="1106" ht="15.75" customHeight="1" x14ac:dyDescent="0.15"/>
    <row r="1107" ht="15.75" customHeight="1" x14ac:dyDescent="0.15"/>
    <row r="1108" ht="15.75" customHeight="1" x14ac:dyDescent="0.15"/>
    <row r="1109" ht="15.75" customHeight="1" x14ac:dyDescent="0.15"/>
    <row r="1110" ht="15.75" customHeight="1" x14ac:dyDescent="0.15"/>
  </sheetData>
  <sheetProtection selectLockedCells="1" selectUnlockedCells="1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>
    <outlinePr summaryBelow="0" summaryRight="0"/>
  </sheetPr>
  <dimension ref="B1:H1023"/>
  <sheetViews>
    <sheetView zoomScale="150" zoomScaleNormal="150" workbookViewId="0">
      <selection activeCell="B110" sqref="B110"/>
    </sheetView>
  </sheetViews>
  <sheetFormatPr baseColWidth="10" defaultColWidth="14.5" defaultRowHeight="15" customHeight="1" outlineLevelRow="2" x14ac:dyDescent="0.15"/>
  <cols>
    <col min="1" max="1" width="3.6640625" customWidth="1"/>
    <col min="2" max="2" width="35.6640625" customWidth="1"/>
    <col min="3" max="3" width="7.1640625" bestFit="1" customWidth="1"/>
  </cols>
  <sheetData>
    <row r="1" spans="2:8" ht="15.75" customHeight="1" x14ac:dyDescent="0.15"/>
    <row r="2" spans="2:8" ht="15.75" customHeight="1" x14ac:dyDescent="0.2">
      <c r="B2" s="96" t="s">
        <v>48</v>
      </c>
    </row>
    <row r="3" spans="2:8" ht="15.75" customHeight="1" x14ac:dyDescent="0.2">
      <c r="B3" s="97" t="s">
        <v>230</v>
      </c>
    </row>
    <row r="4" spans="2:8" ht="15.75" customHeight="1" x14ac:dyDescent="0.15"/>
    <row r="5" spans="2:8" ht="15.75" customHeight="1" x14ac:dyDescent="0.15">
      <c r="B5" s="4"/>
      <c r="C5" s="103" t="s">
        <v>14</v>
      </c>
      <c r="D5" s="104" t="s">
        <v>41</v>
      </c>
      <c r="E5" s="104" t="s">
        <v>42</v>
      </c>
      <c r="F5" s="104" t="s">
        <v>33</v>
      </c>
    </row>
    <row r="6" spans="2:8" ht="15.75" customHeight="1" x14ac:dyDescent="0.15"/>
    <row r="7" spans="2:8" ht="15.75" customHeight="1" x14ac:dyDescent="0.15">
      <c r="B7" s="105" t="s">
        <v>231</v>
      </c>
      <c r="C7" s="88"/>
      <c r="D7" s="86"/>
      <c r="E7" s="86"/>
      <c r="F7" s="86"/>
    </row>
    <row r="8" spans="2:8" ht="15.75" customHeight="1" outlineLevel="1" x14ac:dyDescent="0.15"/>
    <row r="9" spans="2:8" ht="15.75" customHeight="1" outlineLevel="1" x14ac:dyDescent="0.15">
      <c r="B9" s="19" t="str">
        <f>Input!B15</f>
        <v>Europe continent revenue</v>
      </c>
    </row>
    <row r="10" spans="2:8" ht="15.75" customHeight="1" outlineLevel="1" x14ac:dyDescent="0.15">
      <c r="B10" s="98" t="s">
        <v>232</v>
      </c>
      <c r="C10" s="26" t="s">
        <v>35</v>
      </c>
      <c r="D10" s="26">
        <f>Input!O24</f>
        <v>0</v>
      </c>
      <c r="E10" s="26">
        <f>Input!S24</f>
        <v>13644.003024302903</v>
      </c>
      <c r="F10" s="26">
        <f>Input!T24</f>
        <v>17303.894880558713</v>
      </c>
    </row>
    <row r="11" spans="2:8" ht="15.75" customHeight="1" outlineLevel="1" x14ac:dyDescent="0.15">
      <c r="B11" s="98" t="s">
        <v>233</v>
      </c>
      <c r="C11" s="13" t="s">
        <v>35</v>
      </c>
      <c r="D11" s="26">
        <f>Input!O34</f>
        <v>10988.446685131279</v>
      </c>
      <c r="E11" s="26">
        <f>Input!S34</f>
        <v>2537420.5453260681</v>
      </c>
      <c r="F11" s="26">
        <f>+Input!T34</f>
        <v>13575834.540261945</v>
      </c>
      <c r="H11" s="41"/>
    </row>
    <row r="12" spans="2:8" ht="15.75" customHeight="1" outlineLevel="1" x14ac:dyDescent="0.15">
      <c r="B12" s="98" t="s">
        <v>234</v>
      </c>
      <c r="C12" s="13" t="s">
        <v>35</v>
      </c>
      <c r="D12" s="26">
        <f>Input!O45</f>
        <v>16488.422034753079</v>
      </c>
      <c r="E12" s="26">
        <f>Input!S45</f>
        <v>1203237.2590060937</v>
      </c>
      <c r="F12" s="26">
        <f>+Input!T45</f>
        <v>9280489.6051205825</v>
      </c>
    </row>
    <row r="13" spans="2:8" ht="15.75" customHeight="1" outlineLevel="1" x14ac:dyDescent="0.15"/>
    <row r="14" spans="2:8" ht="15.75" customHeight="1" outlineLevel="1" x14ac:dyDescent="0.15">
      <c r="B14" s="19" t="str">
        <f>Input!B47</f>
        <v>America continent revenue</v>
      </c>
    </row>
    <row r="15" spans="2:8" ht="15.75" customHeight="1" outlineLevel="1" x14ac:dyDescent="0.15">
      <c r="B15" s="98" t="s">
        <v>232</v>
      </c>
      <c r="C15" s="26" t="s">
        <v>35</v>
      </c>
      <c r="D15" s="26">
        <f>Input!O56</f>
        <v>8346.0000000000018</v>
      </c>
      <c r="E15" s="26">
        <f>Input!S56</f>
        <v>26193.3232321135</v>
      </c>
      <c r="F15" s="26">
        <f>+Input!T56</f>
        <v>82205.868912290505</v>
      </c>
    </row>
    <row r="16" spans="2:8" ht="15.75" customHeight="1" outlineLevel="1" x14ac:dyDescent="0.15">
      <c r="B16" s="98" t="s">
        <v>233</v>
      </c>
      <c r="C16" s="13" t="s">
        <v>35</v>
      </c>
      <c r="D16" s="26">
        <f>Input!O66</f>
        <v>72000</v>
      </c>
      <c r="E16" s="26">
        <f>Input!S66</f>
        <v>15325063.050166279</v>
      </c>
      <c r="F16" s="26">
        <f>+Input!T66</f>
        <v>41282417.137993641</v>
      </c>
    </row>
    <row r="17" spans="2:8" ht="15.75" customHeight="1" outlineLevel="1" x14ac:dyDescent="0.15">
      <c r="B17" s="98" t="s">
        <v>234</v>
      </c>
      <c r="C17" s="13" t="s">
        <v>35</v>
      </c>
      <c r="D17" s="26">
        <f>Input!O77</f>
        <v>113730</v>
      </c>
      <c r="E17" s="26">
        <f>Input!S77</f>
        <v>42084889.962716006</v>
      </c>
      <c r="F17" s="26">
        <f>Input!T77</f>
        <v>108798112.90537575</v>
      </c>
    </row>
    <row r="18" spans="2:8" ht="15.75" customHeight="1" outlineLevel="1" x14ac:dyDescent="0.15">
      <c r="B18" s="13"/>
      <c r="C18" s="13"/>
    </row>
    <row r="19" spans="2:8" ht="15.75" customHeight="1" outlineLevel="1" x14ac:dyDescent="0.15">
      <c r="B19" s="19" t="str">
        <f>Input!B79</f>
        <v>Asia continent revenue</v>
      </c>
      <c r="C19" s="13"/>
    </row>
    <row r="20" spans="2:8" ht="15.75" customHeight="1" outlineLevel="1" x14ac:dyDescent="0.15">
      <c r="B20" s="98" t="s">
        <v>232</v>
      </c>
      <c r="C20" s="26" t="s">
        <v>35</v>
      </c>
      <c r="D20" s="26">
        <f>Input!O88</f>
        <v>0</v>
      </c>
      <c r="E20" s="26">
        <f>Input!S88</f>
        <v>17684.607682500016</v>
      </c>
      <c r="F20" s="26">
        <f>+Input!T88</f>
        <v>55501.87458193631</v>
      </c>
    </row>
    <row r="21" spans="2:8" ht="15.75" customHeight="1" outlineLevel="1" x14ac:dyDescent="0.15">
      <c r="B21" s="98" t="s">
        <v>233</v>
      </c>
      <c r="C21" s="13" t="s">
        <v>35</v>
      </c>
      <c r="D21" s="26">
        <f>Input!O98</f>
        <v>0</v>
      </c>
      <c r="E21" s="26">
        <f>Input!S98</f>
        <v>10331213.040000005</v>
      </c>
      <c r="F21" s="26">
        <f>Input!T98</f>
        <v>32423772.170686074</v>
      </c>
      <c r="H21" s="41"/>
    </row>
    <row r="22" spans="2:8" ht="15.75" customHeight="1" outlineLevel="1" x14ac:dyDescent="0.15">
      <c r="B22" s="98" t="s">
        <v>234</v>
      </c>
      <c r="C22" s="13" t="s">
        <v>35</v>
      </c>
      <c r="D22" s="26">
        <f>Input!O109</f>
        <v>0</v>
      </c>
      <c r="E22" s="40">
        <f>Input!S109</f>
        <v>6430932.179496903</v>
      </c>
      <c r="F22" s="26">
        <f>Input!T109</f>
        <v>30274530.061351985</v>
      </c>
    </row>
    <row r="23" spans="2:8" ht="15.75" customHeight="1" x14ac:dyDescent="0.15"/>
    <row r="24" spans="2:8" ht="15.75" customHeight="1" x14ac:dyDescent="0.15">
      <c r="B24" s="89" t="str">
        <f>Input!B111</f>
        <v>Europe continent OPEX</v>
      </c>
      <c r="C24" s="88"/>
      <c r="D24" s="86"/>
      <c r="E24" s="86"/>
      <c r="F24" s="86"/>
    </row>
    <row r="25" spans="2:8" ht="15.75" customHeight="1" outlineLevel="1" x14ac:dyDescent="0.15"/>
    <row r="26" spans="2:8" ht="15.75" customHeight="1" outlineLevel="1" x14ac:dyDescent="0.15">
      <c r="B26" s="19" t="str">
        <f>Input!B113</f>
        <v>Acquisition commissions paid</v>
      </c>
    </row>
    <row r="27" spans="2:8" ht="15.75" customHeight="1" outlineLevel="1" x14ac:dyDescent="0.15">
      <c r="B27" s="13" t="str">
        <f>Input!B115</f>
        <v>Acquisition commissions paid to bercode issuers / bercode usage</v>
      </c>
      <c r="C27" t="str">
        <f>Input!C115</f>
        <v>USD</v>
      </c>
      <c r="D27" s="26">
        <f>Input!O115</f>
        <v>5496.1406782510257</v>
      </c>
      <c r="E27" s="26">
        <f>Input!S115</f>
        <v>401079.08633536455</v>
      </c>
      <c r="F27" s="26">
        <f>Input!T115</f>
        <v>3093496.5350401942</v>
      </c>
    </row>
    <row r="28" spans="2:8" ht="15.75" customHeight="1" outlineLevel="1" x14ac:dyDescent="0.15">
      <c r="B28" s="13" t="str">
        <f>Input!B117</f>
        <v>Acquisition commissions paid to bercode issuers / merchant</v>
      </c>
      <c r="C28" t="str">
        <f>Input!C117</f>
        <v>USD</v>
      </c>
      <c r="D28" s="26">
        <f>Input!O117</f>
        <v>5496.1406782510257</v>
      </c>
      <c r="E28" s="26">
        <f>Input!S117</f>
        <v>401079.08633536455</v>
      </c>
      <c r="F28" s="26">
        <f>Input!T117</f>
        <v>3093496.5350401942</v>
      </c>
    </row>
    <row r="29" spans="2:8" ht="15.75" customHeight="1" outlineLevel="1" x14ac:dyDescent="0.15"/>
    <row r="30" spans="2:8" ht="15.75" customHeight="1" outlineLevel="1" x14ac:dyDescent="0.15">
      <c r="B30" s="19" t="str">
        <f>Input!B120</f>
        <v>Office and admin costs</v>
      </c>
      <c r="D30" s="26"/>
    </row>
    <row r="31" spans="2:8" ht="15.75" customHeight="1" outlineLevel="2" x14ac:dyDescent="0.15">
      <c r="B31" s="13" t="str">
        <f>Input!B121</f>
        <v>Office renting fee + overheads</v>
      </c>
      <c r="C31" t="s">
        <v>35</v>
      </c>
      <c r="D31" s="41">
        <f>SUM(Input!D121:O121)</f>
        <v>36000</v>
      </c>
      <c r="E31" s="41">
        <f>SUM(Input!P121:S121)</f>
        <v>36000</v>
      </c>
      <c r="F31" s="41">
        <f>Input!T121</f>
        <v>36000</v>
      </c>
    </row>
    <row r="32" spans="2:8" ht="15.75" customHeight="1" outlineLevel="1" x14ac:dyDescent="0.15">
      <c r="B32" s="19"/>
    </row>
    <row r="33" spans="2:6" ht="15.75" customHeight="1" outlineLevel="1" x14ac:dyDescent="0.15">
      <c r="B33" s="19" t="str">
        <f>Input!B124</f>
        <v>Marketing and business development</v>
      </c>
      <c r="D33" s="42">
        <f>SUM(D34:D35)</f>
        <v>16500</v>
      </c>
      <c r="E33" s="42">
        <f>SUM(E34:E35)</f>
        <v>18000</v>
      </c>
      <c r="F33" s="42">
        <f>SUM(F34:F35)</f>
        <v>18000</v>
      </c>
    </row>
    <row r="34" spans="2:6" ht="15.75" customHeight="1" outlineLevel="2" x14ac:dyDescent="0.15">
      <c r="B34" s="13" t="str">
        <f>Input!B125</f>
        <v>Sponsorship for celebrities to start up the market</v>
      </c>
      <c r="C34" s="13" t="s">
        <v>35</v>
      </c>
      <c r="D34" s="26">
        <f>SUM(Input!D125:O125)</f>
        <v>0</v>
      </c>
      <c r="E34" s="26">
        <f>SUM(Input!P125:S125)</f>
        <v>0</v>
      </c>
      <c r="F34" s="26">
        <f>SUM(Input!T125)</f>
        <v>0</v>
      </c>
    </row>
    <row r="35" spans="2:6" ht="15.75" customHeight="1" outlineLevel="2" x14ac:dyDescent="0.15">
      <c r="B35" s="13" t="str">
        <f>Input!B126</f>
        <v>Online adds - Facebook, Instagram, TikTok</v>
      </c>
      <c r="C35" s="13" t="s">
        <v>35</v>
      </c>
      <c r="D35" s="26">
        <f>SUM(Input!D126:O126)</f>
        <v>16500</v>
      </c>
      <c r="E35" s="26">
        <f>SUM(Input!P126:S126)</f>
        <v>18000</v>
      </c>
      <c r="F35" s="26">
        <f>SUM(Input!T126)</f>
        <v>18000</v>
      </c>
    </row>
    <row r="36" spans="2:6" ht="15.75" customHeight="1" outlineLevel="1" x14ac:dyDescent="0.15"/>
    <row r="37" spans="2:6" ht="15.75" customHeight="1" outlineLevel="1" x14ac:dyDescent="0.15">
      <c r="B37" s="19" t="str">
        <f>Input!B128</f>
        <v>Other operating costs</v>
      </c>
    </row>
    <row r="38" spans="2:6" ht="15.75" customHeight="1" outlineLevel="2" x14ac:dyDescent="0.15">
      <c r="B38" s="13" t="str">
        <f>Input!B129</f>
        <v>Travel</v>
      </c>
      <c r="C38" s="13" t="s">
        <v>35</v>
      </c>
      <c r="D38" s="26">
        <f>SUM(Input!D129:O129)</f>
        <v>12000</v>
      </c>
      <c r="E38" s="26">
        <f>SUM(Input!P129:S129)</f>
        <v>12000</v>
      </c>
      <c r="F38" s="26">
        <f>SUM(Input!T129)</f>
        <v>12000</v>
      </c>
    </row>
    <row r="39" spans="2:6" ht="15.75" customHeight="1" outlineLevel="1" x14ac:dyDescent="0.15"/>
    <row r="40" spans="2:6" ht="15.75" customHeight="1" outlineLevel="1" x14ac:dyDescent="0.15">
      <c r="B40" s="43" t="str">
        <f>Input!B132</f>
        <v>External services</v>
      </c>
      <c r="D40" s="42">
        <f>SUM(D41:D44)</f>
        <v>746023.2</v>
      </c>
      <c r="E40" s="42">
        <f>SUM(E41:E44)</f>
        <v>674260.4</v>
      </c>
      <c r="F40" s="42">
        <f>SUM(F41:F44)</f>
        <v>721330.4</v>
      </c>
    </row>
    <row r="41" spans="2:6" ht="15.75" customHeight="1" outlineLevel="1" x14ac:dyDescent="0.15">
      <c r="B41" t="str">
        <f>Input!B133</f>
        <v>Platform development (new moduls, translations)</v>
      </c>
      <c r="C41" t="s">
        <v>35</v>
      </c>
      <c r="D41" s="26">
        <f>SUM(Input!D133:O133)</f>
        <v>300000</v>
      </c>
      <c r="E41" s="26">
        <f>SUM(Input!P133:S133)</f>
        <v>0</v>
      </c>
      <c r="F41" s="26">
        <f>Input!T133</f>
        <v>0</v>
      </c>
    </row>
    <row r="42" spans="2:6" ht="15.75" customHeight="1" outlineLevel="1" x14ac:dyDescent="0.15">
      <c r="B42" t="str">
        <f>Input!B134</f>
        <v>Accounting/bookkeeping</v>
      </c>
      <c r="C42" t="s">
        <v>35</v>
      </c>
      <c r="D42" s="26">
        <f>SUM(Input!D134:O134)</f>
        <v>6000</v>
      </c>
      <c r="E42" s="26">
        <f>SUM(Input!P134:S134)</f>
        <v>6000</v>
      </c>
      <c r="F42" s="26">
        <f>Input!T134</f>
        <v>6000</v>
      </c>
    </row>
    <row r="43" spans="2:6" ht="15.75" customHeight="1" outlineLevel="1" x14ac:dyDescent="0.15">
      <c r="B43" t="str">
        <f>Input!B135</f>
        <v>Legal advisory</v>
      </c>
      <c r="C43" t="s">
        <v>35</v>
      </c>
      <c r="D43" s="26">
        <f>SUM(Input!D135:O135)</f>
        <v>12000</v>
      </c>
      <c r="E43" s="26">
        <f>SUM(Input!P135:S135)</f>
        <v>12000</v>
      </c>
      <c r="F43" s="26">
        <f>Input!T135</f>
        <v>12000</v>
      </c>
    </row>
    <row r="44" spans="2:6" ht="15.75" customHeight="1" outlineLevel="1" x14ac:dyDescent="0.15">
      <c r="B44" t="str">
        <f>Input!B136</f>
        <v>External staff for Europe continent</v>
      </c>
      <c r="C44" t="s">
        <v>35</v>
      </c>
      <c r="D44" s="26">
        <f>SUM(Input!D136:O136)</f>
        <v>428023.2</v>
      </c>
      <c r="E44" s="26">
        <f>SUM(Input!P136:S136)</f>
        <v>656260.4</v>
      </c>
      <c r="F44" s="26">
        <f>Input!T136</f>
        <v>703330.4</v>
      </c>
    </row>
    <row r="45" spans="2:6" ht="15.75" customHeight="1" outlineLevel="1" x14ac:dyDescent="0.15">
      <c r="B45" s="13"/>
      <c r="D45" s="26"/>
      <c r="E45" s="26"/>
      <c r="F45" s="26"/>
    </row>
    <row r="46" spans="2:6" ht="15.75" customHeight="1" x14ac:dyDescent="0.15">
      <c r="B46" s="89" t="str">
        <f>Input!B155</f>
        <v>America continent OPEX</v>
      </c>
      <c r="C46" s="88"/>
      <c r="D46" s="86"/>
      <c r="E46" s="86"/>
      <c r="F46" s="86"/>
    </row>
    <row r="47" spans="2:6" ht="15.75" customHeight="1" outlineLevel="1" x14ac:dyDescent="0.15"/>
    <row r="48" spans="2:6" ht="15.75" customHeight="1" outlineLevel="1" x14ac:dyDescent="0.15">
      <c r="B48" s="19" t="str">
        <f>Input!B157</f>
        <v>Acquisition commissions paid</v>
      </c>
    </row>
    <row r="49" spans="2:6" ht="15.75" customHeight="1" outlineLevel="1" x14ac:dyDescent="0.15">
      <c r="B49" s="13" t="str">
        <f>Input!B159</f>
        <v>Acquisition commissions paid to bercode issuers / bercode usage</v>
      </c>
      <c r="C49" t="s">
        <v>35</v>
      </c>
      <c r="D49" s="26">
        <f>Input!O159</f>
        <v>37910</v>
      </c>
      <c r="E49" s="26">
        <f>Input!S159</f>
        <v>14028296.654238667</v>
      </c>
      <c r="F49" s="26">
        <f>Input!T159</f>
        <v>36266037.63512525</v>
      </c>
    </row>
    <row r="50" spans="2:6" ht="15.75" customHeight="1" outlineLevel="1" x14ac:dyDescent="0.15">
      <c r="B50" s="13" t="str">
        <f>Input!B161</f>
        <v>Acquisition commissions paid to bercode issuers / merchant</v>
      </c>
      <c r="C50" t="s">
        <v>35</v>
      </c>
      <c r="D50" s="26">
        <f>Input!O161</f>
        <v>37910</v>
      </c>
      <c r="E50" s="26">
        <f>Input!S161</f>
        <v>14028296.654238667</v>
      </c>
      <c r="F50" s="26">
        <f>Input!T161</f>
        <v>36266037.63512525</v>
      </c>
    </row>
    <row r="51" spans="2:6" ht="15.75" customHeight="1" outlineLevel="1" x14ac:dyDescent="0.15"/>
    <row r="52" spans="2:6" ht="15.75" customHeight="1" outlineLevel="1" x14ac:dyDescent="0.15">
      <c r="B52" s="99" t="s">
        <v>140</v>
      </c>
      <c r="D52" s="26"/>
    </row>
    <row r="53" spans="2:6" ht="15.75" customHeight="1" outlineLevel="2" x14ac:dyDescent="0.15">
      <c r="B53" s="106" t="s">
        <v>132</v>
      </c>
      <c r="D53" s="42">
        <f>SUM(D54:D57)</f>
        <v>313189.136</v>
      </c>
      <c r="E53" s="42">
        <f>SUM(E54:E57)</f>
        <v>555049.44000000006</v>
      </c>
      <c r="F53" s="42">
        <f>SUM(F54:F57)</f>
        <v>555049.44000000006</v>
      </c>
    </row>
    <row r="54" spans="2:6" ht="15.75" customHeight="1" outlineLevel="2" x14ac:dyDescent="0.15">
      <c r="B54" s="13" t="str">
        <f>Input!B165</f>
        <v>Support for users/partners for America continent</v>
      </c>
      <c r="C54" s="13" t="s">
        <v>35</v>
      </c>
      <c r="D54" s="26">
        <f>Input!D171/12*SUM(Input!D165:O165)</f>
        <v>38702</v>
      </c>
      <c r="E54" s="26">
        <f>Input!D171/12*SUM(Input!P165:S165)*3</f>
        <v>92884.800000000003</v>
      </c>
      <c r="F54" s="26">
        <f>Input!D171*Input!T165</f>
        <v>92884.800000000003</v>
      </c>
    </row>
    <row r="55" spans="2:6" ht="15.75" customHeight="1" outlineLevel="2" x14ac:dyDescent="0.15">
      <c r="B55" s="13" t="str">
        <f>Input!B166</f>
        <v>Management for America continent</v>
      </c>
      <c r="C55" s="13" t="s">
        <v>35</v>
      </c>
      <c r="D55" s="26">
        <f>Input!D172/12*SUM(Input!D166:O166)</f>
        <v>135611.80800000002</v>
      </c>
      <c r="E55" s="26">
        <f>Input!D172/12*SUM(Input!P166:S166)*3</f>
        <v>271223.61600000004</v>
      </c>
      <c r="F55" s="26">
        <f>Input!D172*Input!T166</f>
        <v>271223.61600000004</v>
      </c>
    </row>
    <row r="56" spans="2:6" ht="15.75" customHeight="1" outlineLevel="2" x14ac:dyDescent="0.15">
      <c r="B56" s="13" t="str">
        <f>Input!B167</f>
        <v>Secretaryship for America continent</v>
      </c>
      <c r="C56" s="13" t="s">
        <v>35</v>
      </c>
      <c r="D56" s="26">
        <f>Input!D173/12*SUM(Input!D167:O167)</f>
        <v>52065.695999999996</v>
      </c>
      <c r="E56" s="26">
        <f>Input!D173/12*SUM(Input!P167:S167)*3</f>
        <v>104131.39199999999</v>
      </c>
      <c r="F56" s="26">
        <f>Input!D173*Input!T167</f>
        <v>104131.39200000001</v>
      </c>
    </row>
    <row r="57" spans="2:6" ht="15.75" customHeight="1" outlineLevel="2" x14ac:dyDescent="0.15">
      <c r="B57" s="13" t="str">
        <f>Input!B168</f>
        <v>Marketing manager for America continent</v>
      </c>
      <c r="C57" s="13" t="s">
        <v>35</v>
      </c>
      <c r="D57" s="26">
        <f>Input!D174/12*SUM(Input!D168:O168)</f>
        <v>86809.631999999998</v>
      </c>
      <c r="E57" s="26">
        <f>Input!D174/12*SUM(Input!P168:S168)*3</f>
        <v>86809.631999999998</v>
      </c>
      <c r="F57" s="26">
        <f>Input!D174*Input!T168</f>
        <v>86809.631999999998</v>
      </c>
    </row>
    <row r="58" spans="2:6" ht="15.75" customHeight="1" outlineLevel="2" x14ac:dyDescent="0.15"/>
    <row r="59" spans="2:6" ht="15.75" customHeight="1" outlineLevel="2" x14ac:dyDescent="0.15">
      <c r="B59" s="102" t="s">
        <v>235</v>
      </c>
      <c r="C59" s="13" t="s">
        <v>35</v>
      </c>
      <c r="D59" s="26">
        <f>SUM(D54:D57)*Input!$D$13</f>
        <v>31318.9136</v>
      </c>
      <c r="E59" s="26">
        <f>SUM(E54:E57)*Input!$D$13</f>
        <v>55504.94400000001</v>
      </c>
      <c r="F59" s="26">
        <f>SUM(F54:F57)*Input!$D$13</f>
        <v>55504.94400000001</v>
      </c>
    </row>
    <row r="60" spans="2:6" ht="15.75" customHeight="1" outlineLevel="1" x14ac:dyDescent="0.15">
      <c r="B60" s="13"/>
      <c r="D60" s="26"/>
      <c r="E60" s="26"/>
      <c r="F60" s="26"/>
    </row>
    <row r="61" spans="2:6" ht="15.75" customHeight="1" outlineLevel="1" x14ac:dyDescent="0.15">
      <c r="B61" s="19" t="str">
        <f>Input!B176</f>
        <v>Office and admin costs</v>
      </c>
      <c r="D61" s="42">
        <f t="shared" ref="D61:F61" si="0">SUM(D62:D64)</f>
        <v>8858.89</v>
      </c>
      <c r="E61" s="42">
        <f t="shared" si="0"/>
        <v>124113.36000000002</v>
      </c>
      <c r="F61" s="42">
        <f t="shared" si="0"/>
        <v>124113.36000000002</v>
      </c>
    </row>
    <row r="62" spans="2:6" ht="15.75" customHeight="1" outlineLevel="1" x14ac:dyDescent="0.15">
      <c r="B62" s="13" t="str">
        <f>Input!B177</f>
        <v>Office renting fee + overheads</v>
      </c>
      <c r="C62" s="13" t="s">
        <v>35</v>
      </c>
      <c r="D62" s="26">
        <f>SUM(Input!D177:O177)</f>
        <v>4408.8900000000003</v>
      </c>
      <c r="E62" s="26">
        <f>SUM(Input!P177:S177)</f>
        <v>105813.36000000002</v>
      </c>
      <c r="F62" s="26">
        <f>Input!T177</f>
        <v>105813.36000000002</v>
      </c>
    </row>
    <row r="63" spans="2:6" ht="15.75" customHeight="1" outlineLevel="1" x14ac:dyDescent="0.15">
      <c r="B63" s="13" t="str">
        <f>Input!B178</f>
        <v>Phone with internet</v>
      </c>
      <c r="C63" s="13" t="s">
        <v>35</v>
      </c>
      <c r="D63" s="26">
        <f>SUM(Input!D178:O178)</f>
        <v>3450</v>
      </c>
      <c r="E63" s="26">
        <f>SUM(Input!P178:S178)</f>
        <v>6300</v>
      </c>
      <c r="F63" s="26">
        <f>Input!T178</f>
        <v>6300</v>
      </c>
    </row>
    <row r="64" spans="2:6" ht="15.75" customHeight="1" outlineLevel="1" x14ac:dyDescent="0.15">
      <c r="B64" s="13" t="str">
        <f>Input!B179</f>
        <v>Car leasing for management</v>
      </c>
      <c r="C64" s="13" t="s">
        <v>35</v>
      </c>
      <c r="D64" s="26">
        <f>SUM(Input!D179:O179)</f>
        <v>1000</v>
      </c>
      <c r="E64" s="26">
        <f>SUM(Input!P179:S179)</f>
        <v>12000</v>
      </c>
      <c r="F64" s="26">
        <f>Input!T179</f>
        <v>12000</v>
      </c>
    </row>
    <row r="65" spans="2:6" ht="15.75" customHeight="1" outlineLevel="1" x14ac:dyDescent="0.15">
      <c r="B65" s="13"/>
      <c r="D65" s="26"/>
      <c r="E65" s="26"/>
      <c r="F65" s="26"/>
    </row>
    <row r="66" spans="2:6" ht="15.75" customHeight="1" outlineLevel="1" x14ac:dyDescent="0.15">
      <c r="B66" s="19" t="str">
        <f>Input!B182</f>
        <v>Marketing and business development</v>
      </c>
      <c r="D66" s="42">
        <f>SUM(D67:D68)</f>
        <v>196000</v>
      </c>
      <c r="E66" s="42">
        <f>SUM(E67:E68)</f>
        <v>636000</v>
      </c>
      <c r="F66" s="42">
        <f>SUM(F67:F68)</f>
        <v>636000</v>
      </c>
    </row>
    <row r="67" spans="2:6" ht="15.75" customHeight="1" outlineLevel="1" x14ac:dyDescent="0.15">
      <c r="B67" s="13" t="str">
        <f>Input!B183</f>
        <v>Sponsorship for celebrities to start up the market</v>
      </c>
      <c r="C67" s="13" t="s">
        <v>35</v>
      </c>
      <c r="D67" s="26">
        <f>SUM(Input!D183:O183)</f>
        <v>175000</v>
      </c>
      <c r="E67" s="26">
        <f>SUM(Input!P183:S183)</f>
        <v>600000</v>
      </c>
      <c r="F67" s="26">
        <f>Input!T183</f>
        <v>600000</v>
      </c>
    </row>
    <row r="68" spans="2:6" ht="15.75" customHeight="1" outlineLevel="1" x14ac:dyDescent="0.15">
      <c r="B68" s="13" t="str">
        <f>Input!B184</f>
        <v>Online adds - Facebook, Instagram, TikTok</v>
      </c>
      <c r="C68" s="13" t="s">
        <v>35</v>
      </c>
      <c r="D68" s="26">
        <f>SUM(Input!D184:O184)</f>
        <v>21000</v>
      </c>
      <c r="E68" s="26">
        <f>SUM(Input!P184:S184)</f>
        <v>36000</v>
      </c>
      <c r="F68" s="26">
        <f>Input!T184</f>
        <v>36000</v>
      </c>
    </row>
    <row r="69" spans="2:6" ht="15.75" customHeight="1" outlineLevel="1" x14ac:dyDescent="0.15">
      <c r="B69" s="13"/>
      <c r="D69" s="26"/>
      <c r="E69" s="26"/>
      <c r="F69" s="26"/>
    </row>
    <row r="70" spans="2:6" ht="15.75" customHeight="1" outlineLevel="1" x14ac:dyDescent="0.15">
      <c r="B70" s="19" t="str">
        <f>Input!B186</f>
        <v>Other operating costs</v>
      </c>
      <c r="D70" s="26"/>
      <c r="E70" s="26"/>
      <c r="F70" s="26"/>
    </row>
    <row r="71" spans="2:6" ht="15.75" customHeight="1" outlineLevel="1" x14ac:dyDescent="0.15">
      <c r="B71" s="13" t="str">
        <f>Input!B187</f>
        <v>Travel</v>
      </c>
      <c r="C71" t="s">
        <v>35</v>
      </c>
      <c r="D71" s="26">
        <f>SUM(Input!D187:O187)</f>
        <v>7000</v>
      </c>
      <c r="E71" s="26">
        <f>SUM(Input!P187:S187)</f>
        <v>24000</v>
      </c>
      <c r="F71" s="26">
        <f>Input!T187</f>
        <v>24000</v>
      </c>
    </row>
    <row r="72" spans="2:6" ht="15.75" customHeight="1" outlineLevel="1" x14ac:dyDescent="0.15">
      <c r="B72" s="13"/>
      <c r="D72" s="26"/>
      <c r="E72" s="26"/>
      <c r="F72" s="26"/>
    </row>
    <row r="73" spans="2:6" ht="15.75" customHeight="1" outlineLevel="1" x14ac:dyDescent="0.15">
      <c r="B73" s="13"/>
      <c r="D73" s="26"/>
      <c r="E73" s="26"/>
      <c r="F73" s="26"/>
    </row>
    <row r="74" spans="2:6" ht="15.75" customHeight="1" outlineLevel="1" x14ac:dyDescent="0.15">
      <c r="B74" s="89" t="str">
        <f>Input!B190</f>
        <v>Asia continent OPEX</v>
      </c>
      <c r="C74" s="88"/>
      <c r="D74" s="88"/>
      <c r="E74" s="88"/>
      <c r="F74" s="88"/>
    </row>
    <row r="75" spans="2:6" ht="15.75" customHeight="1" outlineLevel="1" x14ac:dyDescent="0.15">
      <c r="B75" s="13"/>
      <c r="D75" s="26"/>
      <c r="E75" s="26"/>
      <c r="F75" s="26"/>
    </row>
    <row r="76" spans="2:6" ht="15.75" customHeight="1" outlineLevel="1" x14ac:dyDescent="0.15">
      <c r="B76" s="19" t="str">
        <f>Input!B192</f>
        <v>Acquisition commissions paid</v>
      </c>
      <c r="D76" s="26"/>
      <c r="E76" s="26"/>
      <c r="F76" s="26"/>
    </row>
    <row r="77" spans="2:6" ht="15.75" customHeight="1" outlineLevel="1" x14ac:dyDescent="0.15">
      <c r="B77" s="13" t="str">
        <f>Input!B194</f>
        <v>Acquisition commissions paid to bercode issuers / bercode usage</v>
      </c>
      <c r="C77" t="s">
        <v>35</v>
      </c>
      <c r="D77" s="26">
        <f>Input!O194</f>
        <v>0</v>
      </c>
      <c r="E77" s="26">
        <f>Input!S194</f>
        <v>2143644.059832301</v>
      </c>
      <c r="F77" s="26">
        <f>Input!T194</f>
        <v>10091510.020450661</v>
      </c>
    </row>
    <row r="78" spans="2:6" ht="15.75" customHeight="1" outlineLevel="1" x14ac:dyDescent="0.15">
      <c r="B78" s="13" t="str">
        <f>Input!B196</f>
        <v>Acquisition commissions paid to bercode issuers / merchant</v>
      </c>
      <c r="C78" t="s">
        <v>35</v>
      </c>
      <c r="D78" s="26">
        <f>Input!O196</f>
        <v>0</v>
      </c>
      <c r="E78" s="26">
        <f>Input!S196</f>
        <v>2143644.059832301</v>
      </c>
      <c r="F78" s="26">
        <f>Input!T196</f>
        <v>10091510.020450661</v>
      </c>
    </row>
    <row r="79" spans="2:6" ht="15.75" customHeight="1" outlineLevel="1" x14ac:dyDescent="0.15">
      <c r="B79" s="13"/>
      <c r="D79" s="26"/>
      <c r="E79" s="26"/>
      <c r="F79" s="26"/>
    </row>
    <row r="80" spans="2:6" ht="15.75" customHeight="1" outlineLevel="1" x14ac:dyDescent="0.15">
      <c r="B80" s="19" t="str">
        <f>Input!B198</f>
        <v>Personnel expenses</v>
      </c>
      <c r="D80" s="42">
        <f>SUM(D81:D84)</f>
        <v>6852.550834043589</v>
      </c>
      <c r="E80" s="42">
        <f t="shared" ref="E80:F80" si="1">SUM(E81:E84)</f>
        <v>39785.705588700846</v>
      </c>
      <c r="F80" s="42">
        <f t="shared" si="1"/>
        <v>57421.161573115794</v>
      </c>
    </row>
    <row r="81" spans="2:6" ht="15.75" customHeight="1" outlineLevel="1" x14ac:dyDescent="0.15">
      <c r="B81" s="13" t="str">
        <f>Input!B200</f>
        <v>Support for users/partners Asia continent</v>
      </c>
      <c r="C81" t="s">
        <v>35</v>
      </c>
      <c r="D81" s="26">
        <f>Input!D206/12*SUM(Input!D200:O200)</f>
        <v>530.86570071837332</v>
      </c>
      <c r="E81" s="26">
        <f>Input!D206/12*SUM(Input!P200:S200)*3</f>
        <v>6370.3884086204798</v>
      </c>
      <c r="F81" s="26">
        <f>Input!D206*Input!T200</f>
        <v>9555.5826129307206</v>
      </c>
    </row>
    <row r="82" spans="2:6" ht="15.75" customHeight="1" outlineLevel="1" x14ac:dyDescent="0.15">
      <c r="B82" s="13" t="str">
        <f>Input!B201</f>
        <v>Management Asia continent</v>
      </c>
      <c r="C82" t="s">
        <v>35</v>
      </c>
      <c r="D82" s="26">
        <f>Input!D207/12*SUM(Input!D201:O201)</f>
        <v>3472.5435285522949</v>
      </c>
      <c r="E82" s="26">
        <f>Input!D207/12*SUM(Input!P201:S201)*3</f>
        <v>20835.26117131377</v>
      </c>
      <c r="F82" s="26">
        <f>Input!D207*Input!T201</f>
        <v>31252.891756970654</v>
      </c>
    </row>
    <row r="83" spans="2:6" ht="15.75" customHeight="1" outlineLevel="1" x14ac:dyDescent="0.15">
      <c r="B83" s="13" t="str">
        <f>Input!B202</f>
        <v>Secretaryship Asia continent</v>
      </c>
      <c r="C83" t="s">
        <v>35</v>
      </c>
      <c r="D83" s="26">
        <f>Input!D208/12*SUM(Input!D202:O202)</f>
        <v>1344.2103981492758</v>
      </c>
      <c r="E83" s="26">
        <f>Input!D208/12*SUM(Input!P202:S202)*3</f>
        <v>8065.262388895655</v>
      </c>
      <c r="F83" s="26">
        <f>Input!D208*Input!T202</f>
        <v>12097.893583343481</v>
      </c>
    </row>
    <row r="84" spans="2:6" ht="15.75" customHeight="1" outlineLevel="1" x14ac:dyDescent="0.15">
      <c r="B84" s="13" t="str">
        <f>Input!B203</f>
        <v>Marketing manager Asia continent</v>
      </c>
      <c r="C84" t="s">
        <v>35</v>
      </c>
      <c r="D84" s="26">
        <f>Input!D209/12*SUM(Input!D203:O203)</f>
        <v>1504.9312066236455</v>
      </c>
      <c r="E84" s="26">
        <f>Input!D209/12*SUM(Input!P203:S203)*3</f>
        <v>4514.7936198709367</v>
      </c>
      <c r="F84" s="26">
        <f>Input!D209*Input!T203</f>
        <v>4514.7936198709367</v>
      </c>
    </row>
    <row r="85" spans="2:6" ht="15.75" customHeight="1" outlineLevel="1" x14ac:dyDescent="0.15">
      <c r="B85" s="13"/>
      <c r="D85" s="26"/>
      <c r="E85" s="26"/>
      <c r="F85" s="26"/>
    </row>
    <row r="86" spans="2:6" ht="15.75" customHeight="1" outlineLevel="2" x14ac:dyDescent="0.15">
      <c r="B86" s="35" t="s">
        <v>40</v>
      </c>
      <c r="C86" s="13" t="s">
        <v>35</v>
      </c>
      <c r="D86" s="26">
        <f>SUM(D81:D84)*Input!$D$13</f>
        <v>685.25508340435897</v>
      </c>
      <c r="E86" s="26">
        <f>SUM(E81:E84)*Input!$D$13</f>
        <v>3978.5705588700848</v>
      </c>
      <c r="F86" s="26">
        <f>SUM(F81:F84)*Input!$D$13</f>
        <v>5742.1161573115796</v>
      </c>
    </row>
    <row r="87" spans="2:6" ht="15.75" customHeight="1" outlineLevel="1" x14ac:dyDescent="0.15">
      <c r="B87" s="13"/>
      <c r="D87" s="26"/>
      <c r="E87" s="26"/>
      <c r="F87" s="26"/>
    </row>
    <row r="88" spans="2:6" ht="15.75" customHeight="1" outlineLevel="1" x14ac:dyDescent="0.15">
      <c r="B88" s="19" t="str">
        <f>Input!B211</f>
        <v>Office and admin costs</v>
      </c>
      <c r="D88" s="42">
        <f>SUM(D89:D91)</f>
        <v>7838</v>
      </c>
      <c r="E88" s="42">
        <f t="shared" ref="E88:F88" si="2">SUM(E89:E91)</f>
        <v>47028</v>
      </c>
      <c r="F88" s="42">
        <f t="shared" si="2"/>
        <v>70242</v>
      </c>
    </row>
    <row r="89" spans="2:6" ht="15.75" customHeight="1" outlineLevel="1" x14ac:dyDescent="0.15">
      <c r="B89" s="13" t="str">
        <f>Input!B212</f>
        <v>Office renting fee + overheads</v>
      </c>
      <c r="C89" s="13" t="s">
        <v>35</v>
      </c>
      <c r="D89" s="26">
        <f>SUM(Input!D212:O212)</f>
        <v>3138</v>
      </c>
      <c r="E89" s="26">
        <f>SUM(Input!P212:S212)</f>
        <v>18828</v>
      </c>
      <c r="F89" s="26">
        <f>Input!T212</f>
        <v>28242</v>
      </c>
    </row>
    <row r="90" spans="2:6" ht="15.75" customHeight="1" outlineLevel="1" x14ac:dyDescent="0.15">
      <c r="B90" s="13" t="str">
        <f>Input!B213</f>
        <v>Phone with internet</v>
      </c>
      <c r="C90" s="13" t="s">
        <v>35</v>
      </c>
      <c r="D90" s="26">
        <f>SUM(Input!D213:O213)</f>
        <v>700</v>
      </c>
      <c r="E90" s="26">
        <f>SUM(Input!P213:S213)</f>
        <v>4200</v>
      </c>
      <c r="F90" s="26">
        <f>Input!T213</f>
        <v>6000</v>
      </c>
    </row>
    <row r="91" spans="2:6" ht="15.75" customHeight="1" outlineLevel="1" x14ac:dyDescent="0.15">
      <c r="B91" s="13" t="str">
        <f>Input!B214</f>
        <v>Car leasing for management</v>
      </c>
      <c r="C91" s="13" t="s">
        <v>35</v>
      </c>
      <c r="D91" s="26">
        <f>SUM(Input!D214:O214)</f>
        <v>4000</v>
      </c>
      <c r="E91" s="26">
        <f>SUM(Input!P214:S214)</f>
        <v>24000</v>
      </c>
      <c r="F91" s="26">
        <f>Input!T214</f>
        <v>36000</v>
      </c>
    </row>
    <row r="92" spans="2:6" ht="15.75" customHeight="1" outlineLevel="1" x14ac:dyDescent="0.15">
      <c r="B92" s="13"/>
      <c r="D92" s="26"/>
      <c r="E92" s="26"/>
      <c r="F92" s="26"/>
    </row>
    <row r="93" spans="2:6" ht="15.75" customHeight="1" outlineLevel="1" x14ac:dyDescent="0.15">
      <c r="B93" s="19" t="str">
        <f>Input!B217</f>
        <v>Marketing and business development</v>
      </c>
      <c r="D93" s="42">
        <f>SUM(D94:D95)</f>
        <v>309000</v>
      </c>
      <c r="E93" s="42">
        <f>SUM(E94:E95)</f>
        <v>636000</v>
      </c>
      <c r="F93" s="42">
        <f>SUM(F94:F95)</f>
        <v>36000</v>
      </c>
    </row>
    <row r="94" spans="2:6" ht="15.75" customHeight="1" outlineLevel="1" x14ac:dyDescent="0.15">
      <c r="B94" s="13" t="str">
        <f>Input!B218</f>
        <v>Sponsorship for celebrities to start up the market</v>
      </c>
      <c r="C94" s="13" t="s">
        <v>35</v>
      </c>
      <c r="D94" s="26">
        <f>SUM(Input!D218:O218)</f>
        <v>300000</v>
      </c>
      <c r="E94" s="26">
        <f>SUM(Input!P218:S218)</f>
        <v>600000</v>
      </c>
      <c r="F94" s="26">
        <f>Input!T218</f>
        <v>0</v>
      </c>
    </row>
    <row r="95" spans="2:6" ht="15.75" customHeight="1" outlineLevel="1" x14ac:dyDescent="0.15">
      <c r="B95" s="13" t="str">
        <f>Input!B219</f>
        <v>Online adds - Facebook, Instagram, TikTok</v>
      </c>
      <c r="C95" s="13" t="s">
        <v>35</v>
      </c>
      <c r="D95" s="26">
        <f>SUM(Input!D219:O219)</f>
        <v>9000</v>
      </c>
      <c r="E95" s="26">
        <f>SUM(Input!P219:S219)</f>
        <v>36000</v>
      </c>
      <c r="F95" s="26">
        <f>Input!T219</f>
        <v>36000</v>
      </c>
    </row>
    <row r="96" spans="2:6" ht="15.75" customHeight="1" outlineLevel="1" x14ac:dyDescent="0.15">
      <c r="B96" s="13"/>
      <c r="D96" s="26"/>
      <c r="E96" s="26"/>
      <c r="F96" s="26"/>
    </row>
    <row r="97" spans="2:6" ht="15.75" customHeight="1" outlineLevel="1" x14ac:dyDescent="0.15">
      <c r="B97" s="19" t="str">
        <f>Input!B221</f>
        <v>Other operating costs</v>
      </c>
      <c r="D97" s="26"/>
      <c r="E97" s="26"/>
      <c r="F97" s="26"/>
    </row>
    <row r="98" spans="2:6" ht="15.75" customHeight="1" outlineLevel="1" x14ac:dyDescent="0.15">
      <c r="B98" s="13" t="str">
        <f>Input!B222</f>
        <v>Travel</v>
      </c>
      <c r="C98" t="s">
        <v>35</v>
      </c>
      <c r="D98" s="26">
        <f>SUM(Input!D222:O222)</f>
        <v>4000</v>
      </c>
      <c r="E98" s="26">
        <f>SUM(Input!P222:S222)</f>
        <v>24000</v>
      </c>
      <c r="F98" s="26">
        <f>Input!T222</f>
        <v>36000</v>
      </c>
    </row>
    <row r="99" spans="2:6" ht="15.75" customHeight="1" outlineLevel="1" x14ac:dyDescent="0.15">
      <c r="B99" s="13"/>
      <c r="D99" s="26"/>
      <c r="E99" s="26"/>
      <c r="F99" s="26"/>
    </row>
    <row r="100" spans="2:6" ht="15.75" customHeight="1" x14ac:dyDescent="0.15"/>
    <row r="101" spans="2:6" ht="15.75" customHeight="1" x14ac:dyDescent="0.15">
      <c r="B101" s="89" t="s">
        <v>39</v>
      </c>
      <c r="C101" s="88"/>
      <c r="D101" s="86"/>
      <c r="E101" s="86"/>
      <c r="F101" s="86"/>
    </row>
    <row r="102" spans="2:6" ht="15.75" customHeight="1" outlineLevel="1" x14ac:dyDescent="0.15"/>
    <row r="103" spans="2:6" ht="15.75" customHeight="1" outlineLevel="1" x14ac:dyDescent="0.15">
      <c r="B103" s="99" t="s">
        <v>156</v>
      </c>
    </row>
    <row r="104" spans="2:6" ht="15.75" customHeight="1" outlineLevel="1" x14ac:dyDescent="0.15">
      <c r="B104" s="98" t="s">
        <v>236</v>
      </c>
      <c r="C104" s="13" t="s">
        <v>35</v>
      </c>
      <c r="D104" s="26">
        <f>Input!D230*SUM(Input!O165:O168,Input!O200:O203)</f>
        <v>24000</v>
      </c>
      <c r="E104" s="26">
        <f>Input!D230*(SUM(Input!S200:S203)-SUM(Input!O200:O203))</f>
        <v>18000</v>
      </c>
      <c r="F104" s="26">
        <f>Input!D230*(SUM(Input!T165:T168,Input!T200:T203)-SUM(Input!S165:S168,Input!S200:S203))</f>
        <v>0</v>
      </c>
    </row>
    <row r="105" spans="2:6" ht="15.75" customHeight="1" outlineLevel="1" x14ac:dyDescent="0.15">
      <c r="B105" s="98" t="s">
        <v>158</v>
      </c>
      <c r="C105" s="13" t="s">
        <v>35</v>
      </c>
      <c r="D105" s="26">
        <f t="shared" ref="D105:F105" si="3">SUM(D106:D108)</f>
        <v>4800</v>
      </c>
      <c r="E105" s="26">
        <f t="shared" si="3"/>
        <v>8400</v>
      </c>
      <c r="F105" s="26">
        <f t="shared" si="3"/>
        <v>8400</v>
      </c>
    </row>
    <row r="106" spans="2:6" ht="15.75" customHeight="1" outlineLevel="2" x14ac:dyDescent="0.15">
      <c r="B106" s="44" t="s">
        <v>41</v>
      </c>
      <c r="C106" s="44" t="s">
        <v>35</v>
      </c>
      <c r="D106" s="26">
        <f>D104*Input!$D$231</f>
        <v>4800</v>
      </c>
      <c r="E106" s="26">
        <f>IF($D$106&lt;$D$104,$D$104*Input!$D$231,0)</f>
        <v>4800</v>
      </c>
      <c r="F106" s="26">
        <f>IF(($D$106+$E$106)&lt;$D$104,$D$104*Input!$D$231,0)</f>
        <v>4800</v>
      </c>
    </row>
    <row r="107" spans="2:6" ht="15.75" customHeight="1" outlineLevel="2" x14ac:dyDescent="0.15">
      <c r="B107" s="44" t="s">
        <v>42</v>
      </c>
      <c r="C107" s="44" t="s">
        <v>35</v>
      </c>
      <c r="D107" s="26">
        <v>0</v>
      </c>
      <c r="E107" s="26">
        <f>E104*Input!$D$231</f>
        <v>3600</v>
      </c>
      <c r="F107" s="26">
        <f>IF($E$107&lt;$E$104,$E$104*Input!$D$231,0)</f>
        <v>3600</v>
      </c>
    </row>
    <row r="108" spans="2:6" ht="15.75" customHeight="1" outlineLevel="2" x14ac:dyDescent="0.15">
      <c r="B108" s="44" t="s">
        <v>33</v>
      </c>
      <c r="C108" s="44" t="s">
        <v>35</v>
      </c>
      <c r="D108" s="26">
        <v>0</v>
      </c>
      <c r="E108" s="26">
        <v>0</v>
      </c>
      <c r="F108" s="26">
        <f>F104*Input!$D$231</f>
        <v>0</v>
      </c>
    </row>
    <row r="109" spans="2:6" ht="15.75" customHeight="1" outlineLevel="1" x14ac:dyDescent="0.15">
      <c r="B109" s="98" t="s">
        <v>237</v>
      </c>
      <c r="C109" s="13" t="s">
        <v>35</v>
      </c>
      <c r="D109" s="26">
        <f>D104-D105</f>
        <v>19200</v>
      </c>
      <c r="E109" s="26">
        <f t="shared" ref="E109:F109" si="4">SUM($D$104:E104)-SUM($D$105:E105)</f>
        <v>28800</v>
      </c>
      <c r="F109" s="26">
        <f t="shared" si="4"/>
        <v>20400</v>
      </c>
    </row>
    <row r="110" spans="2:6" ht="15.75" customHeight="1" outlineLevel="1" x14ac:dyDescent="0.15"/>
    <row r="111" spans="2:6" ht="15.75" customHeight="1" outlineLevel="1" x14ac:dyDescent="0.15"/>
    <row r="112" spans="2:6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  <row r="1020" ht="15.75" customHeight="1" x14ac:dyDescent="0.15"/>
    <row r="1021" ht="15.75" customHeight="1" x14ac:dyDescent="0.15"/>
    <row r="1022" ht="15.75" customHeight="1" x14ac:dyDescent="0.15"/>
    <row r="1023" ht="15.75" customHeight="1" x14ac:dyDescent="0.15"/>
  </sheetData>
  <sheetProtection selectLockedCells="1" selectUnlockedCells="1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>
    <outlinePr summaryBelow="0" summaryRight="0"/>
  </sheetPr>
  <dimension ref="A1:Z1006"/>
  <sheetViews>
    <sheetView workbookViewId="0">
      <selection activeCell="G28" sqref="G28"/>
    </sheetView>
  </sheetViews>
  <sheetFormatPr baseColWidth="10" defaultColWidth="14.5" defaultRowHeight="15" customHeight="1" x14ac:dyDescent="0.15"/>
  <cols>
    <col min="1" max="1" width="3.6640625" customWidth="1"/>
    <col min="2" max="2" width="66.33203125" bestFit="1" customWidth="1"/>
    <col min="3" max="3" width="7.1640625" bestFit="1" customWidth="1"/>
  </cols>
  <sheetData>
    <row r="1" spans="2:9" ht="15.75" customHeight="1" x14ac:dyDescent="0.15"/>
    <row r="2" spans="2:9" ht="15.75" customHeight="1" x14ac:dyDescent="0.2">
      <c r="B2" s="96" t="s">
        <v>48</v>
      </c>
    </row>
    <row r="3" spans="2:9" ht="15.75" customHeight="1" x14ac:dyDescent="0.2">
      <c r="B3" s="97" t="s">
        <v>238</v>
      </c>
    </row>
    <row r="4" spans="2:9" ht="15.75" customHeight="1" x14ac:dyDescent="0.15"/>
    <row r="5" spans="2:9" ht="15.75" customHeight="1" x14ac:dyDescent="0.15">
      <c r="B5" s="4"/>
      <c r="C5" s="103" t="s">
        <v>14</v>
      </c>
      <c r="D5" s="39" t="str">
        <f>Calculation!D5</f>
        <v>Year 1</v>
      </c>
      <c r="E5" s="39" t="str">
        <f>Calculation!E5</f>
        <v>Year 2</v>
      </c>
      <c r="F5" s="39" t="str">
        <f>Calculation!F5</f>
        <v>Year 3</v>
      </c>
      <c r="G5" s="13"/>
      <c r="H5" s="13"/>
      <c r="I5" s="13"/>
    </row>
    <row r="6" spans="2:9" ht="15.75" customHeight="1" x14ac:dyDescent="0.15">
      <c r="B6" s="101" t="s">
        <v>239</v>
      </c>
      <c r="C6" s="13" t="s">
        <v>35</v>
      </c>
      <c r="D6" s="26">
        <f>Calculation!D10+Calculation!D11+Calculation!D15+Calculation!D16+Calculation!D20+Calculation!D21</f>
        <v>91334.44668513129</v>
      </c>
      <c r="E6" s="26">
        <f>Calculation!E10+Calculation!E11+Calculation!E15+Calculation!E16+Calculation!E20+Calculation!E21</f>
        <v>28251218.569431268</v>
      </c>
      <c r="F6" s="26">
        <f>Calculation!F10+Calculation!F11+Calculation!F15+Calculation!F16+Calculation!F20+Calculation!F21</f>
        <v>87437035.487316445</v>
      </c>
    </row>
    <row r="7" spans="2:9" ht="15.75" customHeight="1" x14ac:dyDescent="0.15">
      <c r="B7" s="101" t="s">
        <v>240</v>
      </c>
      <c r="C7" s="13" t="s">
        <v>35</v>
      </c>
      <c r="D7" s="26">
        <f>Calculation!D12+Calculation!D17+Calculation!D22</f>
        <v>130218.42203475308</v>
      </c>
      <c r="E7" s="26">
        <f>Calculation!E12+Calculation!E17+Calculation!E22</f>
        <v>49719059.401218995</v>
      </c>
      <c r="F7" s="26">
        <f>Calculation!F12+Calculation!F17+Calculation!F22</f>
        <v>148353132.57184833</v>
      </c>
    </row>
    <row r="8" spans="2:9" ht="15.75" customHeight="1" x14ac:dyDescent="0.15">
      <c r="B8" s="99" t="s">
        <v>241</v>
      </c>
      <c r="C8" s="19" t="s">
        <v>35</v>
      </c>
      <c r="D8" s="45">
        <f>SUM(D6:D7)</f>
        <v>221552.86871988437</v>
      </c>
      <c r="E8" s="45">
        <f>SUM(E6:E7)</f>
        <v>77970277.970650256</v>
      </c>
      <c r="F8" s="45">
        <f>SUM(F6:F7)</f>
        <v>235790168.05916476</v>
      </c>
    </row>
    <row r="9" spans="2:9" ht="15.75" customHeight="1" x14ac:dyDescent="0.15">
      <c r="B9" s="98" t="s">
        <v>110</v>
      </c>
      <c r="C9" s="13" t="s">
        <v>35</v>
      </c>
      <c r="D9" s="26">
        <f>Calculation!D27+Calculation!D49+Calculation!D77</f>
        <v>43406.140678251024</v>
      </c>
      <c r="E9" s="26">
        <f>Calculation!E27+Calculation!E49+Calculation!E77</f>
        <v>16573019.800406333</v>
      </c>
      <c r="F9" s="26">
        <f>Calculation!F27+Calculation!F49+Calculation!F77</f>
        <v>49451044.190616101</v>
      </c>
    </row>
    <row r="10" spans="2:9" ht="15.75" customHeight="1" x14ac:dyDescent="0.15">
      <c r="B10" s="98" t="s">
        <v>111</v>
      </c>
      <c r="C10" s="13" t="s">
        <v>35</v>
      </c>
      <c r="D10" s="26">
        <f>Calculation!D28+Calculation!D50+Calculation!D78</f>
        <v>43406.140678251024</v>
      </c>
      <c r="E10" s="26">
        <f>Calculation!E28+Calculation!E50+Calculation!E78</f>
        <v>16573019.800406333</v>
      </c>
      <c r="F10" s="26">
        <f>Calculation!F28+Calculation!F50+Calculation!F78</f>
        <v>49451044.190616101</v>
      </c>
    </row>
    <row r="11" spans="2:9" ht="15.75" customHeight="1" x14ac:dyDescent="0.15">
      <c r="B11" s="99" t="s">
        <v>109</v>
      </c>
      <c r="C11" s="19" t="s">
        <v>35</v>
      </c>
      <c r="D11" s="45">
        <f>SUM(D9:D10)</f>
        <v>86812.281356502048</v>
      </c>
      <c r="E11" s="45">
        <f t="shared" ref="E11" si="0">SUM(E9:E10)</f>
        <v>33146039.600812666</v>
      </c>
      <c r="F11" s="45">
        <f>SUM(F9:F10)</f>
        <v>98902088.381232202</v>
      </c>
    </row>
    <row r="12" spans="2:9" ht="15.75" customHeight="1" x14ac:dyDescent="0.15">
      <c r="B12" s="101" t="s">
        <v>242</v>
      </c>
      <c r="C12" s="13" t="s">
        <v>35</v>
      </c>
      <c r="D12" s="26">
        <f>Calculation!D53+Calculation!D80</f>
        <v>320041.68683404359</v>
      </c>
      <c r="E12" s="26">
        <f>Calculation!E53+Calculation!E80</f>
        <v>594835.14558870089</v>
      </c>
      <c r="F12" s="26">
        <f>Calculation!F53+Calculation!F80</f>
        <v>612470.60157311591</v>
      </c>
    </row>
    <row r="13" spans="2:9" ht="15.75" customHeight="1" x14ac:dyDescent="0.15">
      <c r="B13" s="101" t="s">
        <v>235</v>
      </c>
      <c r="C13" s="13" t="s">
        <v>35</v>
      </c>
      <c r="D13" s="26">
        <f>Calculation!D59+Calculation!D86</f>
        <v>32004.168683404358</v>
      </c>
      <c r="E13" s="26">
        <f>Calculation!E59+Calculation!E86</f>
        <v>59483.514558870098</v>
      </c>
      <c r="F13" s="26">
        <f>Calculation!F59+Calculation!F86</f>
        <v>61247.060157311593</v>
      </c>
    </row>
    <row r="14" spans="2:9" ht="15.75" customHeight="1" x14ac:dyDescent="0.15">
      <c r="B14" s="99" t="s">
        <v>140</v>
      </c>
      <c r="C14" s="19" t="s">
        <v>35</v>
      </c>
      <c r="D14" s="45">
        <f>SUM(D12:D13)</f>
        <v>352045.85551744793</v>
      </c>
      <c r="E14" s="45">
        <f t="shared" ref="E14" si="1">SUM(E12:E13)</f>
        <v>654318.660147571</v>
      </c>
      <c r="F14" s="45">
        <f>SUM(F12:F13)</f>
        <v>673717.66173042753</v>
      </c>
    </row>
    <row r="15" spans="2:9" ht="15.75" customHeight="1" x14ac:dyDescent="0.15">
      <c r="B15" s="101" t="s">
        <v>112</v>
      </c>
      <c r="C15" s="13" t="s">
        <v>35</v>
      </c>
      <c r="D15" s="26">
        <f>Calculation!D31+Calculation!D61+Calculation!D88</f>
        <v>52696.89</v>
      </c>
      <c r="E15" s="26">
        <f>Calculation!E31+Calculation!E61+Calculation!E88</f>
        <v>207141.36000000002</v>
      </c>
      <c r="F15" s="26">
        <f>Calculation!F31+Calculation!F61+Calculation!F88</f>
        <v>230355.36000000002</v>
      </c>
    </row>
    <row r="16" spans="2:9" ht="15.75" customHeight="1" x14ac:dyDescent="0.15">
      <c r="B16" s="101" t="s">
        <v>114</v>
      </c>
      <c r="C16" s="13" t="s">
        <v>35</v>
      </c>
      <c r="D16" s="26">
        <f>Calculation!D33+Calculation!D66+Calculation!D93</f>
        <v>521500</v>
      </c>
      <c r="E16" s="26">
        <f>Calculation!E33+Calculation!E66+Calculation!E93</f>
        <v>1290000</v>
      </c>
      <c r="F16" s="26">
        <f>Calculation!F33+Calculation!F66+Calculation!F93</f>
        <v>690000</v>
      </c>
    </row>
    <row r="17" spans="1:26" ht="15.75" customHeight="1" x14ac:dyDescent="0.15">
      <c r="B17" s="101" t="s">
        <v>118</v>
      </c>
      <c r="C17" s="13" t="s">
        <v>35</v>
      </c>
      <c r="D17" s="26">
        <f>Calculation!D38+Calculation!D71+Calculation!D98</f>
        <v>23000</v>
      </c>
      <c r="E17" s="26">
        <f>Calculation!E38+Calculation!E71+Calculation!E98</f>
        <v>60000</v>
      </c>
      <c r="F17" s="26">
        <f>Calculation!F38+Calculation!F71+Calculation!F98</f>
        <v>72000</v>
      </c>
    </row>
    <row r="18" spans="1:26" ht="15.75" customHeight="1" x14ac:dyDescent="0.15">
      <c r="B18" s="101" t="s">
        <v>155</v>
      </c>
      <c r="C18" s="13" t="s">
        <v>35</v>
      </c>
      <c r="D18" s="26">
        <f>Input!$D$225*(Calculation!D27+Calculation!D28+Calculation!D31+Calculation!D33+Calculation!D38+Calculation!D40+Calculation!D49+Calculation!D50+Calculation!D53+Calculation!D59+Calculation!D61+Calculation!D66+Calculation!D71+Calculation!D77+Calculation!D78+Calculation!D80+Calculation!D86+Calculation!D88+Calculation!D93+Calculation!D98)</f>
        <v>26731.173403109246</v>
      </c>
      <c r="E18" s="26">
        <f>Input!$D$225*(Calculation!E27+Calculation!E28+Calculation!E31+Calculation!E33+Calculation!E38+Calculation!E40+Calculation!E49+Calculation!E50+Calculation!E53+Calculation!E59+Calculation!E61+Calculation!E66+Calculation!E71+Calculation!E77+Calculation!E78+Calculation!E80+Calculation!E86+Calculation!E88+Calculation!E93+Calculation!E98)</f>
        <v>540476.40031440347</v>
      </c>
      <c r="F18" s="26">
        <f>Input!$D$225*(Calculation!F27+Calculation!F28+Calculation!F31+Calculation!F33+Calculation!F38+Calculation!F40+Calculation!F49+Calculation!F50+Calculation!F53+Calculation!F59+Calculation!F61+Calculation!F66+Calculation!F71+Calculation!F77+Calculation!F78+Calculation!F80+Calculation!F86+Calculation!F88+Calculation!F93+Calculation!F98)</f>
        <v>1519342.3770444395</v>
      </c>
      <c r="G18" s="46"/>
    </row>
    <row r="19" spans="1:26" ht="15.75" customHeight="1" x14ac:dyDescent="0.15">
      <c r="B19" s="99" t="s">
        <v>243</v>
      </c>
      <c r="C19" s="19" t="s">
        <v>35</v>
      </c>
      <c r="D19" s="45">
        <f>SUM(D15:D18)</f>
        <v>623928.0634031092</v>
      </c>
      <c r="E19" s="45">
        <f t="shared" ref="E19:F19" si="2">SUM(E15:E18)</f>
        <v>2097617.7603144036</v>
      </c>
      <c r="F19" s="45">
        <f t="shared" si="2"/>
        <v>2511697.7370444397</v>
      </c>
    </row>
    <row r="20" spans="1:26" ht="15.75" customHeight="1" x14ac:dyDescent="0.15">
      <c r="B20" s="98" t="s">
        <v>121</v>
      </c>
      <c r="C20" s="13" t="s">
        <v>35</v>
      </c>
      <c r="D20" s="26">
        <f>Calculation!D41</f>
        <v>300000</v>
      </c>
      <c r="E20" s="26">
        <f>Calculation!E41</f>
        <v>0</v>
      </c>
      <c r="F20" s="26">
        <f>Calculation!F41</f>
        <v>0</v>
      </c>
    </row>
    <row r="21" spans="1:26" ht="15.75" customHeight="1" x14ac:dyDescent="0.15">
      <c r="B21" s="98" t="s">
        <v>122</v>
      </c>
      <c r="C21" s="13" t="s">
        <v>35</v>
      </c>
      <c r="D21" s="26">
        <f>Calculation!D42</f>
        <v>6000</v>
      </c>
      <c r="E21" s="26">
        <f>Calculation!E42</f>
        <v>6000</v>
      </c>
      <c r="F21" s="26">
        <f>Calculation!F42</f>
        <v>6000</v>
      </c>
    </row>
    <row r="22" spans="1:26" ht="15.75" customHeight="1" x14ac:dyDescent="0.15">
      <c r="B22" s="98" t="s">
        <v>123</v>
      </c>
      <c r="C22" s="13" t="s">
        <v>35</v>
      </c>
      <c r="D22" s="26">
        <f>Calculation!D43</f>
        <v>12000</v>
      </c>
      <c r="E22" s="26">
        <f>Calculation!E43</f>
        <v>12000</v>
      </c>
      <c r="F22" s="26">
        <f>Calculation!F43</f>
        <v>12000</v>
      </c>
    </row>
    <row r="23" spans="1:26" ht="15.75" customHeight="1" x14ac:dyDescent="0.15">
      <c r="B23" s="98" t="s">
        <v>124</v>
      </c>
      <c r="C23" s="13" t="s">
        <v>35</v>
      </c>
      <c r="D23" s="26">
        <f>Calculation!D44</f>
        <v>428023.2</v>
      </c>
      <c r="E23" s="26">
        <f>Calculation!E44</f>
        <v>656260.4</v>
      </c>
      <c r="F23" s="26">
        <f>Calculation!F44</f>
        <v>703330.4</v>
      </c>
    </row>
    <row r="24" spans="1:26" ht="15.75" customHeight="1" x14ac:dyDescent="0.15">
      <c r="B24" s="99" t="s">
        <v>120</v>
      </c>
      <c r="C24" s="19" t="s">
        <v>35</v>
      </c>
      <c r="D24" s="45">
        <f>SUM(D20:D23)</f>
        <v>746023.2</v>
      </c>
      <c r="E24" s="45">
        <f>SUM(E20:E23)</f>
        <v>674260.4</v>
      </c>
      <c r="F24" s="45">
        <f t="shared" ref="F24" si="3">SUM(F20:F23)</f>
        <v>721330.4</v>
      </c>
    </row>
    <row r="25" spans="1:26" ht="15.75" customHeight="1" x14ac:dyDescent="0.15">
      <c r="A25" s="13"/>
      <c r="B25" s="99" t="s">
        <v>236</v>
      </c>
      <c r="C25" s="19" t="s">
        <v>35</v>
      </c>
      <c r="D25" s="45">
        <f>Calculation!D104</f>
        <v>24000</v>
      </c>
      <c r="E25" s="45">
        <f>Calculation!E104</f>
        <v>18000</v>
      </c>
      <c r="F25" s="45">
        <f>Calculation!F104</f>
        <v>0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15">
      <c r="B26" s="99" t="s">
        <v>244</v>
      </c>
      <c r="C26" s="19" t="s">
        <v>35</v>
      </c>
      <c r="D26" s="45">
        <f>D8*Input!$D$11</f>
        <v>0</v>
      </c>
      <c r="E26" s="45">
        <f>E8*Input!$D$11</f>
        <v>0</v>
      </c>
      <c r="F26" s="45">
        <f>F8*Input!$D$11</f>
        <v>0</v>
      </c>
      <c r="G26" s="13" t="str">
        <f>Input!B11</f>
        <v>State tax in Delaware</v>
      </c>
    </row>
    <row r="27" spans="1:26" ht="15.75" customHeight="1" x14ac:dyDescent="0.15">
      <c r="B27" s="103" t="s">
        <v>245</v>
      </c>
      <c r="C27" s="12" t="s">
        <v>35</v>
      </c>
      <c r="D27" s="47">
        <f>D8-D11-D14-D19-D24-D25-D26</f>
        <v>-1611256.5315571749</v>
      </c>
      <c r="E27" s="47">
        <f>E8-E11-E14-E19-E24-E25-E26</f>
        <v>41380041.549375616</v>
      </c>
      <c r="F27" s="47">
        <f t="shared" ref="F27" si="4">F8-F11-F14-F19-F24-F25-F26</f>
        <v>132981333.87915768</v>
      </c>
    </row>
    <row r="28" spans="1:26" ht="15.75" customHeight="1" x14ac:dyDescent="0.15">
      <c r="B28" s="98" t="s">
        <v>246</v>
      </c>
      <c r="C28" s="13" t="s">
        <v>35</v>
      </c>
      <c r="D28" s="13">
        <v>0</v>
      </c>
      <c r="E28" s="13">
        <v>0</v>
      </c>
      <c r="F28" s="13">
        <v>0</v>
      </c>
      <c r="G28" s="98" t="s">
        <v>250</v>
      </c>
    </row>
    <row r="29" spans="1:26" ht="15.75" customHeight="1" x14ac:dyDescent="0.15">
      <c r="B29" s="103" t="s">
        <v>247</v>
      </c>
      <c r="C29" s="12" t="s">
        <v>35</v>
      </c>
      <c r="D29" s="47">
        <f t="shared" ref="D29:F29" si="5">D27+D28</f>
        <v>-1611256.5315571749</v>
      </c>
      <c r="E29" s="47">
        <f t="shared" si="5"/>
        <v>41380041.549375616</v>
      </c>
      <c r="F29" s="47">
        <f t="shared" si="5"/>
        <v>132981333.87915768</v>
      </c>
    </row>
    <row r="30" spans="1:26" ht="15.75" customHeight="1" x14ac:dyDescent="0.15">
      <c r="B30" s="98" t="s">
        <v>248</v>
      </c>
      <c r="C30" s="13" t="s">
        <v>35</v>
      </c>
      <c r="D30" s="26">
        <v>0</v>
      </c>
      <c r="E30" s="26">
        <f>Input!$D$12*'Profit and Loss'!E29</f>
        <v>14483014.542281466</v>
      </c>
      <c r="F30" s="26">
        <f>Input!$D$12*'Profit and Loss'!F29</f>
        <v>46543466.857705183</v>
      </c>
      <c r="G30" s="10" t="str">
        <f>Input!B12</f>
        <v>Federal tax rate in USA</v>
      </c>
    </row>
    <row r="31" spans="1:26" ht="15.75" customHeight="1" x14ac:dyDescent="0.15">
      <c r="A31" s="13"/>
      <c r="B31" s="103" t="s">
        <v>249</v>
      </c>
      <c r="C31" s="12" t="s">
        <v>35</v>
      </c>
      <c r="D31" s="48">
        <f t="shared" ref="D31:F31" si="6">D29-D30</f>
        <v>-1611256.5315571749</v>
      </c>
      <c r="E31" s="48">
        <f t="shared" si="6"/>
        <v>26897027.007094152</v>
      </c>
      <c r="F31" s="48">
        <f t="shared" si="6"/>
        <v>86437867.021452487</v>
      </c>
      <c r="G31" s="26"/>
      <c r="H31" s="13"/>
      <c r="I31" s="13"/>
      <c r="J31" s="13"/>
      <c r="K31" s="13"/>
      <c r="L31" s="13"/>
      <c r="M31" s="13"/>
      <c r="N31" s="13"/>
      <c r="O31" s="13"/>
    </row>
    <row r="32" spans="1:26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</sheetData>
  <sheetProtection selectLockedCells="1" selectUnlockedCells="1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>
    <outlinePr summaryBelow="0" summaryRight="0"/>
  </sheetPr>
  <dimension ref="B1:I998"/>
  <sheetViews>
    <sheetView workbookViewId="0">
      <selection activeCell="E24" sqref="E24"/>
    </sheetView>
  </sheetViews>
  <sheetFormatPr baseColWidth="10" defaultColWidth="14.5" defaultRowHeight="15" customHeight="1" x14ac:dyDescent="0.15"/>
  <cols>
    <col min="1" max="1" width="3.6640625" customWidth="1"/>
    <col min="2" max="2" width="35" bestFit="1" customWidth="1"/>
  </cols>
  <sheetData>
    <row r="1" spans="2:9" ht="15.75" customHeight="1" x14ac:dyDescent="0.15"/>
    <row r="2" spans="2:9" ht="15.75" customHeight="1" x14ac:dyDescent="0.2">
      <c r="B2" s="96" t="s">
        <v>48</v>
      </c>
    </row>
    <row r="3" spans="2:9" ht="15.75" customHeight="1" x14ac:dyDescent="0.2">
      <c r="B3" s="97" t="s">
        <v>251</v>
      </c>
    </row>
    <row r="4" spans="2:9" ht="15.75" customHeight="1" x14ac:dyDescent="0.15"/>
    <row r="5" spans="2:9" ht="15.75" customHeight="1" x14ac:dyDescent="0.15">
      <c r="B5" s="4"/>
      <c r="C5" s="103" t="s">
        <v>14</v>
      </c>
      <c r="D5" s="39" t="str">
        <f>Calculation!D5</f>
        <v>Year 1</v>
      </c>
      <c r="E5" s="39" t="str">
        <f>Calculation!E5</f>
        <v>Year 2</v>
      </c>
      <c r="F5" s="39" t="str">
        <f>Calculation!F5</f>
        <v>Year 3</v>
      </c>
      <c r="G5" s="13"/>
      <c r="H5" s="13"/>
      <c r="I5" s="13"/>
    </row>
    <row r="6" spans="2:9" ht="15.75" customHeight="1" x14ac:dyDescent="0.15"/>
    <row r="7" spans="2:9" ht="15.75" customHeight="1" x14ac:dyDescent="0.15">
      <c r="B7" s="98" t="s">
        <v>249</v>
      </c>
      <c r="C7" s="13" t="s">
        <v>35</v>
      </c>
      <c r="D7" s="26">
        <f>'Profit and Loss'!D31</f>
        <v>-1611256.5315571749</v>
      </c>
      <c r="E7" s="26">
        <f>'Profit and Loss'!E31</f>
        <v>26897027.007094152</v>
      </c>
      <c r="F7" s="26">
        <f>'Profit and Loss'!F31</f>
        <v>86437867.021452487</v>
      </c>
    </row>
    <row r="8" spans="2:9" ht="15.75" customHeight="1" x14ac:dyDescent="0.15">
      <c r="B8" s="98" t="s">
        <v>158</v>
      </c>
      <c r="C8" s="13" t="s">
        <v>35</v>
      </c>
      <c r="D8" s="26">
        <f>Calculation!D105</f>
        <v>4800</v>
      </c>
      <c r="E8" s="26">
        <f>Calculation!E105</f>
        <v>8400</v>
      </c>
      <c r="F8" s="26">
        <f>Calculation!F105</f>
        <v>8400</v>
      </c>
    </row>
    <row r="9" spans="2:9" ht="15.75" customHeight="1" x14ac:dyDescent="0.15">
      <c r="B9" s="107" t="s">
        <v>252</v>
      </c>
      <c r="C9" s="49" t="s">
        <v>35</v>
      </c>
      <c r="D9" s="50">
        <f>D7+D8</f>
        <v>-1606456.5315571749</v>
      </c>
      <c r="E9" s="50">
        <f t="shared" ref="E9:F9" si="0">E7+E8</f>
        <v>26905427.007094152</v>
      </c>
      <c r="F9" s="50">
        <f t="shared" si="0"/>
        <v>86446267.021452487</v>
      </c>
    </row>
    <row r="10" spans="2:9" ht="15.75" customHeight="1" x14ac:dyDescent="0.15">
      <c r="B10" s="98" t="s">
        <v>156</v>
      </c>
      <c r="C10" s="13" t="s">
        <v>35</v>
      </c>
      <c r="D10" s="26">
        <f>Calculation!D104</f>
        <v>24000</v>
      </c>
      <c r="E10" s="26">
        <f>Calculation!E104</f>
        <v>18000</v>
      </c>
      <c r="F10" s="26">
        <f>Calculation!F104</f>
        <v>0</v>
      </c>
    </row>
    <row r="11" spans="2:9" ht="15.75" customHeight="1" x14ac:dyDescent="0.15">
      <c r="B11" s="107" t="s">
        <v>253</v>
      </c>
      <c r="C11" s="49" t="s">
        <v>35</v>
      </c>
      <c r="D11" s="50">
        <f>SUM(D10)*-1</f>
        <v>-24000</v>
      </c>
      <c r="E11" s="50">
        <f t="shared" ref="E11:F11" si="1">SUM(E10)*-1</f>
        <v>-18000</v>
      </c>
      <c r="F11" s="50">
        <f t="shared" si="1"/>
        <v>0</v>
      </c>
    </row>
    <row r="12" spans="2:9" ht="15.75" customHeight="1" x14ac:dyDescent="0.15">
      <c r="B12" s="98" t="s">
        <v>254</v>
      </c>
      <c r="C12" s="13" t="s">
        <v>35</v>
      </c>
      <c r="D12" s="26">
        <f>-(D14)</f>
        <v>1630456.5315571749</v>
      </c>
      <c r="E12" s="26">
        <v>0</v>
      </c>
      <c r="F12" s="26">
        <v>0</v>
      </c>
    </row>
    <row r="13" spans="2:9" ht="15.75" customHeight="1" x14ac:dyDescent="0.15">
      <c r="B13" s="107" t="s">
        <v>255</v>
      </c>
      <c r="C13" s="49" t="s">
        <v>35</v>
      </c>
      <c r="D13" s="49">
        <v>0</v>
      </c>
      <c r="E13" s="49">
        <v>0</v>
      </c>
      <c r="F13" s="49">
        <v>0</v>
      </c>
    </row>
    <row r="14" spans="2:9" ht="15.75" customHeight="1" x14ac:dyDescent="0.15">
      <c r="B14" s="103" t="s">
        <v>256</v>
      </c>
      <c r="C14" s="12" t="s">
        <v>35</v>
      </c>
      <c r="D14" s="47">
        <f>D9+D11+D13</f>
        <v>-1630456.5315571749</v>
      </c>
      <c r="E14" s="47">
        <f t="shared" ref="E14:F14" si="2">E9+E11+E13</f>
        <v>26887427.007094152</v>
      </c>
      <c r="F14" s="47">
        <f t="shared" si="2"/>
        <v>86446267.021452487</v>
      </c>
    </row>
    <row r="15" spans="2:9" ht="15.75" customHeight="1" x14ac:dyDescent="0.15">
      <c r="B15" s="103" t="s">
        <v>257</v>
      </c>
      <c r="C15" s="12" t="s">
        <v>35</v>
      </c>
      <c r="D15" s="47">
        <f t="shared" ref="D15:F15" si="3">D14+D12</f>
        <v>0</v>
      </c>
      <c r="E15" s="47">
        <f t="shared" si="3"/>
        <v>26887427.007094152</v>
      </c>
      <c r="F15" s="47">
        <f t="shared" si="3"/>
        <v>86446267.021452487</v>
      </c>
    </row>
    <row r="16" spans="2:9" ht="15.75" customHeight="1" x14ac:dyDescent="0.15">
      <c r="B16" s="98" t="s">
        <v>258</v>
      </c>
      <c r="C16" s="13" t="s">
        <v>35</v>
      </c>
      <c r="D16" s="26">
        <f t="shared" ref="D16:D17" si="4">D14</f>
        <v>-1630456.5315571749</v>
      </c>
      <c r="E16" s="26">
        <f t="shared" ref="E16" si="5">D16+E14</f>
        <v>25256970.475536976</v>
      </c>
      <c r="F16" s="26">
        <f>E16+F14</f>
        <v>111703237.49698946</v>
      </c>
    </row>
    <row r="17" spans="2:6" ht="15.75" customHeight="1" x14ac:dyDescent="0.15">
      <c r="B17" s="98" t="s">
        <v>259</v>
      </c>
      <c r="C17" s="13" t="s">
        <v>35</v>
      </c>
      <c r="D17" s="132">
        <f t="shared" si="4"/>
        <v>0</v>
      </c>
      <c r="E17" s="26">
        <f t="shared" ref="E17" si="6">D17+E15</f>
        <v>26887427.007094152</v>
      </c>
      <c r="F17" s="26">
        <f>E17+F15</f>
        <v>113333694.02854663</v>
      </c>
    </row>
    <row r="18" spans="2:6" ht="15.75" customHeight="1" x14ac:dyDescent="0.15"/>
    <row r="19" spans="2:6" ht="15.75" customHeight="1" x14ac:dyDescent="0.15"/>
    <row r="20" spans="2:6" ht="15.75" customHeight="1" x14ac:dyDescent="0.15"/>
    <row r="21" spans="2:6" ht="15.75" customHeight="1" x14ac:dyDescent="0.15"/>
    <row r="22" spans="2:6" ht="15.75" customHeight="1" x14ac:dyDescent="0.15"/>
    <row r="23" spans="2:6" ht="15.75" customHeight="1" x14ac:dyDescent="0.15"/>
    <row r="24" spans="2:6" ht="15.75" customHeight="1" x14ac:dyDescent="0.15"/>
    <row r="25" spans="2:6" ht="15.75" customHeight="1" x14ac:dyDescent="0.15"/>
    <row r="26" spans="2:6" ht="15.75" customHeight="1" x14ac:dyDescent="0.15"/>
    <row r="27" spans="2:6" ht="15.75" customHeight="1" x14ac:dyDescent="0.15"/>
    <row r="28" spans="2:6" ht="15.75" customHeight="1" x14ac:dyDescent="0.15"/>
    <row r="29" spans="2:6" ht="15.75" customHeight="1" x14ac:dyDescent="0.15"/>
    <row r="30" spans="2:6" ht="15.75" customHeight="1" x14ac:dyDescent="0.15"/>
    <row r="31" spans="2:6" ht="15.75" customHeight="1" x14ac:dyDescent="0.15"/>
    <row r="32" spans="2:6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</sheetData>
  <sheetProtection selectLockedCells="1" selectUnlockedCells="1"/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outlinePr summaryBelow="0" summaryRight="0"/>
  </sheetPr>
  <dimension ref="B1:I1000"/>
  <sheetViews>
    <sheetView workbookViewId="0">
      <selection activeCell="G66" sqref="G66"/>
    </sheetView>
  </sheetViews>
  <sheetFormatPr baseColWidth="10" defaultColWidth="14.5" defaultRowHeight="15" customHeight="1" x14ac:dyDescent="0.15"/>
  <cols>
    <col min="1" max="1" width="3.6640625" customWidth="1"/>
    <col min="2" max="2" width="31.1640625" customWidth="1"/>
  </cols>
  <sheetData>
    <row r="1" spans="2:9" ht="15.75" customHeight="1" x14ac:dyDescent="0.15"/>
    <row r="2" spans="2:9" ht="15.75" customHeight="1" x14ac:dyDescent="0.2">
      <c r="B2" s="96" t="s">
        <v>48</v>
      </c>
    </row>
    <row r="3" spans="2:9" ht="15.75" customHeight="1" x14ac:dyDescent="0.2">
      <c r="B3" s="97" t="s">
        <v>260</v>
      </c>
    </row>
    <row r="4" spans="2:9" ht="15.75" customHeight="1" x14ac:dyDescent="0.15"/>
    <row r="5" spans="2:9" ht="15.75" customHeight="1" x14ac:dyDescent="0.15">
      <c r="B5" s="4"/>
      <c r="C5" s="103" t="s">
        <v>14</v>
      </c>
      <c r="D5" s="39" t="str">
        <f>Calculation!D5</f>
        <v>Year 1</v>
      </c>
      <c r="E5" s="39" t="str">
        <f>Calculation!E5</f>
        <v>Year 2</v>
      </c>
      <c r="F5" s="39" t="str">
        <f>Calculation!F5</f>
        <v>Year 3</v>
      </c>
      <c r="G5" s="13"/>
      <c r="H5" s="13"/>
      <c r="I5" s="13"/>
    </row>
    <row r="6" spans="2:9" ht="15.75" customHeight="1" x14ac:dyDescent="0.15"/>
    <row r="7" spans="2:9" ht="15.75" customHeight="1" x14ac:dyDescent="0.15">
      <c r="B7" s="103" t="s">
        <v>261</v>
      </c>
      <c r="C7" s="11" t="s">
        <v>35</v>
      </c>
      <c r="D7" s="48">
        <f t="shared" ref="D7:F7" si="0">D8+D12</f>
        <v>19200</v>
      </c>
      <c r="E7" s="48">
        <f t="shared" si="0"/>
        <v>26916227.007094152</v>
      </c>
      <c r="F7" s="48">
        <f t="shared" si="0"/>
        <v>113354094.02854663</v>
      </c>
    </row>
    <row r="8" spans="2:9" ht="15.75" customHeight="1" x14ac:dyDescent="0.15">
      <c r="B8" s="107" t="s">
        <v>262</v>
      </c>
      <c r="C8" s="51" t="s">
        <v>35</v>
      </c>
      <c r="D8" s="52">
        <f t="shared" ref="D8:F8" si="1">SUM(D9:D11)</f>
        <v>19200</v>
      </c>
      <c r="E8" s="52">
        <f t="shared" si="1"/>
        <v>28800</v>
      </c>
      <c r="F8" s="52">
        <f t="shared" si="1"/>
        <v>20400</v>
      </c>
    </row>
    <row r="9" spans="2:9" ht="15.75" customHeight="1" x14ac:dyDescent="0.15">
      <c r="B9" s="98" t="s">
        <v>263</v>
      </c>
      <c r="C9" s="9" t="s">
        <v>35</v>
      </c>
      <c r="D9" s="26">
        <v>0</v>
      </c>
      <c r="E9" s="26">
        <v>0</v>
      </c>
      <c r="F9" s="26">
        <v>0</v>
      </c>
    </row>
    <row r="10" spans="2:9" ht="15.75" customHeight="1" x14ac:dyDescent="0.15">
      <c r="B10" s="98" t="s">
        <v>264</v>
      </c>
      <c r="C10" s="9" t="s">
        <v>35</v>
      </c>
      <c r="D10" s="26">
        <f>Calculation!D109</f>
        <v>19200</v>
      </c>
      <c r="E10" s="26">
        <f>Calculation!E109</f>
        <v>28800</v>
      </c>
      <c r="F10" s="26">
        <f>Calculation!F109</f>
        <v>20400</v>
      </c>
    </row>
    <row r="11" spans="2:9" ht="15.75" customHeight="1" x14ac:dyDescent="0.15">
      <c r="B11" s="98" t="s">
        <v>265</v>
      </c>
      <c r="C11" s="9" t="s">
        <v>35</v>
      </c>
      <c r="D11" s="13">
        <v>0</v>
      </c>
      <c r="E11" s="13">
        <v>0</v>
      </c>
      <c r="F11" s="13">
        <v>0</v>
      </c>
    </row>
    <row r="12" spans="2:9" ht="15.75" customHeight="1" x14ac:dyDescent="0.15">
      <c r="B12" s="107" t="s">
        <v>266</v>
      </c>
      <c r="C12" s="51" t="s">
        <v>35</v>
      </c>
      <c r="D12" s="52">
        <f t="shared" ref="D12:F12" si="2">SUM(D13:D16)</f>
        <v>0</v>
      </c>
      <c r="E12" s="52">
        <f t="shared" si="2"/>
        <v>26887427.007094152</v>
      </c>
      <c r="F12" s="52">
        <f t="shared" si="2"/>
        <v>113333694.02854663</v>
      </c>
    </row>
    <row r="13" spans="2:9" ht="15.75" customHeight="1" x14ac:dyDescent="0.15">
      <c r="B13" s="98" t="s">
        <v>267</v>
      </c>
      <c r="C13" s="9" t="s">
        <v>35</v>
      </c>
      <c r="D13" s="13">
        <v>0</v>
      </c>
      <c r="E13" s="13">
        <v>0</v>
      </c>
      <c r="F13" s="13">
        <v>0</v>
      </c>
    </row>
    <row r="14" spans="2:9" ht="15.75" customHeight="1" x14ac:dyDescent="0.15">
      <c r="B14" s="98" t="s">
        <v>268</v>
      </c>
      <c r="C14" s="9" t="s">
        <v>35</v>
      </c>
      <c r="D14" s="13">
        <v>0</v>
      </c>
      <c r="E14" s="13">
        <v>0</v>
      </c>
      <c r="F14" s="13">
        <v>0</v>
      </c>
    </row>
    <row r="15" spans="2:9" ht="15.75" customHeight="1" x14ac:dyDescent="0.15">
      <c r="B15" s="98" t="s">
        <v>269</v>
      </c>
      <c r="C15" s="9" t="s">
        <v>35</v>
      </c>
      <c r="D15" s="13">
        <v>0</v>
      </c>
      <c r="E15" s="13">
        <v>0</v>
      </c>
      <c r="F15" s="13">
        <v>0</v>
      </c>
    </row>
    <row r="16" spans="2:9" ht="15.75" customHeight="1" x14ac:dyDescent="0.15">
      <c r="B16" s="98" t="s">
        <v>270</v>
      </c>
      <c r="C16" s="9" t="s">
        <v>35</v>
      </c>
      <c r="D16" s="26">
        <f>'Cash Flow'!D17</f>
        <v>0</v>
      </c>
      <c r="E16" s="26">
        <f>'Cash Flow'!E17</f>
        <v>26887427.007094152</v>
      </c>
      <c r="F16" s="26">
        <f>'Cash Flow'!F17</f>
        <v>113333694.02854663</v>
      </c>
    </row>
    <row r="17" spans="2:7" ht="15.75" customHeight="1" x14ac:dyDescent="0.15">
      <c r="B17" s="103" t="s">
        <v>271</v>
      </c>
      <c r="C17" s="11" t="s">
        <v>35</v>
      </c>
      <c r="D17" s="48">
        <f t="shared" ref="D17:F17" si="3">D18+D23</f>
        <v>19200</v>
      </c>
      <c r="E17" s="48">
        <f t="shared" si="3"/>
        <v>26916227.007094152</v>
      </c>
      <c r="F17" s="48">
        <f t="shared" si="3"/>
        <v>113354094.02854663</v>
      </c>
    </row>
    <row r="18" spans="2:7" ht="15.75" customHeight="1" x14ac:dyDescent="0.15">
      <c r="B18" s="107" t="s">
        <v>272</v>
      </c>
      <c r="C18" s="51" t="s">
        <v>35</v>
      </c>
      <c r="D18" s="52">
        <f t="shared" ref="D18:F18" si="4">SUM(D19:D22)</f>
        <v>19200</v>
      </c>
      <c r="E18" s="52">
        <f t="shared" si="4"/>
        <v>26916227.007094152</v>
      </c>
      <c r="F18" s="52">
        <f t="shared" si="4"/>
        <v>113354094.02854663</v>
      </c>
    </row>
    <row r="19" spans="2:7" ht="15.75" customHeight="1" x14ac:dyDescent="0.15">
      <c r="B19" s="98" t="s">
        <v>273</v>
      </c>
      <c r="C19" s="9" t="s">
        <v>35</v>
      </c>
      <c r="D19" s="26">
        <f>'Cash Flow'!D12</f>
        <v>1630456.5315571749</v>
      </c>
      <c r="E19" s="26">
        <f t="shared" ref="E19:F19" si="5">D19</f>
        <v>1630456.5315571749</v>
      </c>
      <c r="F19" s="26">
        <f t="shared" si="5"/>
        <v>1630456.5315571749</v>
      </c>
      <c r="G19" s="13" t="s">
        <v>43</v>
      </c>
    </row>
    <row r="20" spans="2:7" ht="15.75" customHeight="1" x14ac:dyDescent="0.15">
      <c r="B20" s="98" t="s">
        <v>274</v>
      </c>
      <c r="C20" s="9" t="s">
        <v>35</v>
      </c>
      <c r="D20" s="13">
        <v>0</v>
      </c>
      <c r="E20" s="13">
        <v>0</v>
      </c>
      <c r="F20" s="13">
        <v>0</v>
      </c>
    </row>
    <row r="21" spans="2:7" ht="15.75" customHeight="1" x14ac:dyDescent="0.15">
      <c r="B21" s="98" t="s">
        <v>275</v>
      </c>
      <c r="C21" s="9" t="s">
        <v>35</v>
      </c>
      <c r="D21" s="13">
        <v>0</v>
      </c>
      <c r="E21" s="26">
        <f t="shared" ref="E21:F21" si="6">D21+D22</f>
        <v>-1611256.5315571749</v>
      </c>
      <c r="F21" s="26">
        <f t="shared" si="6"/>
        <v>25285770.475536976</v>
      </c>
    </row>
    <row r="22" spans="2:7" ht="15.75" customHeight="1" x14ac:dyDescent="0.15">
      <c r="B22" s="98" t="s">
        <v>276</v>
      </c>
      <c r="C22" s="9" t="s">
        <v>35</v>
      </c>
      <c r="D22" s="26">
        <f>'Profit and Loss'!D31</f>
        <v>-1611256.5315571749</v>
      </c>
      <c r="E22" s="26">
        <f>'Profit and Loss'!E31</f>
        <v>26897027.007094152</v>
      </c>
      <c r="F22" s="26">
        <f>'Profit and Loss'!F31</f>
        <v>86437867.021452487</v>
      </c>
    </row>
    <row r="23" spans="2:7" ht="15.75" customHeight="1" x14ac:dyDescent="0.15">
      <c r="B23" s="107" t="s">
        <v>277</v>
      </c>
      <c r="C23" s="51" t="s">
        <v>35</v>
      </c>
      <c r="D23" s="51">
        <f t="shared" ref="D23:F23" si="7">SUM(D24:D26)</f>
        <v>0</v>
      </c>
      <c r="E23" s="51">
        <f t="shared" si="7"/>
        <v>0</v>
      </c>
      <c r="F23" s="51">
        <f t="shared" si="7"/>
        <v>0</v>
      </c>
    </row>
    <row r="24" spans="2:7" ht="15.75" customHeight="1" x14ac:dyDescent="0.15">
      <c r="B24" s="98" t="s">
        <v>278</v>
      </c>
      <c r="C24" s="9" t="s">
        <v>35</v>
      </c>
      <c r="D24" s="13">
        <v>0</v>
      </c>
      <c r="E24" s="13">
        <v>0</v>
      </c>
      <c r="F24" s="13">
        <v>0</v>
      </c>
    </row>
    <row r="25" spans="2:7" ht="15.75" customHeight="1" x14ac:dyDescent="0.15">
      <c r="B25" s="98" t="s">
        <v>279</v>
      </c>
      <c r="C25" s="9" t="s">
        <v>35</v>
      </c>
      <c r="D25" s="13">
        <v>0</v>
      </c>
      <c r="E25" s="13">
        <v>0</v>
      </c>
      <c r="F25" s="13">
        <v>0</v>
      </c>
    </row>
    <row r="26" spans="2:7" ht="15.75" customHeight="1" x14ac:dyDescent="0.15">
      <c r="B26" s="98" t="s">
        <v>280</v>
      </c>
      <c r="C26" s="9" t="s">
        <v>35</v>
      </c>
      <c r="D26" s="13">
        <v>0</v>
      </c>
      <c r="E26" s="13">
        <v>0</v>
      </c>
      <c r="F26" s="13">
        <v>0</v>
      </c>
    </row>
    <row r="27" spans="2:7" ht="15.75" customHeight="1" x14ac:dyDescent="0.15"/>
    <row r="28" spans="2:7" ht="15.75" customHeight="1" x14ac:dyDescent="0.15">
      <c r="B28" s="53" t="s">
        <v>44</v>
      </c>
      <c r="C28" s="53"/>
      <c r="D28" s="54" t="str">
        <f t="shared" ref="D28:F28" si="8">IF(D7=D17,"ok","not ok")</f>
        <v>ok</v>
      </c>
      <c r="E28" s="54" t="str">
        <f t="shared" si="8"/>
        <v>ok</v>
      </c>
      <c r="F28" s="54" t="str">
        <f t="shared" si="8"/>
        <v>ok</v>
      </c>
    </row>
    <row r="29" spans="2:7" ht="15.75" customHeight="1" x14ac:dyDescent="0.15"/>
    <row r="30" spans="2:7" ht="15.75" customHeight="1" x14ac:dyDescent="0.15"/>
    <row r="31" spans="2:7" ht="15.75" customHeight="1" x14ac:dyDescent="0.15"/>
    <row r="32" spans="2:7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sheetProtection selectLockedCells="1" selectUnlockedCells="1"/>
  <conditionalFormatting sqref="D28:F28">
    <cfRule type="cellIs" dxfId="0" priority="1" operator="equal">
      <formula>"not ok"</formula>
    </cfRule>
  </conditionalFormatting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>
    <outlinePr summaryBelow="0" summaryRight="0"/>
  </sheetPr>
  <dimension ref="B1:H1000"/>
  <sheetViews>
    <sheetView workbookViewId="0">
      <selection activeCell="G40" sqref="G40"/>
    </sheetView>
  </sheetViews>
  <sheetFormatPr baseColWidth="10" defaultColWidth="14.5" defaultRowHeight="15" customHeight="1" outlineLevelRow="1" x14ac:dyDescent="0.15"/>
  <cols>
    <col min="1" max="1" width="3.6640625" customWidth="1"/>
    <col min="2" max="2" width="29.83203125" bestFit="1" customWidth="1"/>
    <col min="3" max="3" width="7.1640625" bestFit="1" customWidth="1"/>
    <col min="4" max="4" width="14.1640625" bestFit="1" customWidth="1"/>
    <col min="8" max="8" width="16.1640625" customWidth="1"/>
  </cols>
  <sheetData>
    <row r="1" spans="2:8" ht="15.75" customHeight="1" x14ac:dyDescent="0.15"/>
    <row r="2" spans="2:8" ht="15.75" customHeight="1" x14ac:dyDescent="0.2">
      <c r="B2" s="96" t="s">
        <v>48</v>
      </c>
    </row>
    <row r="3" spans="2:8" ht="15.75" customHeight="1" x14ac:dyDescent="0.2">
      <c r="B3" s="97" t="s">
        <v>281</v>
      </c>
    </row>
    <row r="4" spans="2:8" ht="15.75" customHeight="1" x14ac:dyDescent="0.15"/>
    <row r="5" spans="2:8" ht="15.75" customHeight="1" x14ac:dyDescent="0.15">
      <c r="B5" s="4"/>
      <c r="C5" s="103" t="s">
        <v>14</v>
      </c>
      <c r="D5" s="104" t="s">
        <v>282</v>
      </c>
      <c r="E5" s="39" t="str">
        <f>Calculation!D5</f>
        <v>Year 1</v>
      </c>
      <c r="F5" s="39" t="str">
        <f>Calculation!E5</f>
        <v>Year 2</v>
      </c>
      <c r="G5" s="39" t="str">
        <f>Calculation!F5</f>
        <v>Year 3</v>
      </c>
      <c r="H5" s="104" t="s">
        <v>283</v>
      </c>
    </row>
    <row r="6" spans="2:8" ht="15.75" customHeight="1" outlineLevel="1" x14ac:dyDescent="0.15">
      <c r="D6" s="15">
        <f>Input!D9</f>
        <v>44927</v>
      </c>
      <c r="E6" s="15">
        <f>D6+364</f>
        <v>45291</v>
      </c>
      <c r="F6" s="15">
        <f t="shared" ref="F6:G6" si="0">E6+365</f>
        <v>45656</v>
      </c>
      <c r="G6" s="15">
        <f t="shared" si="0"/>
        <v>46021</v>
      </c>
      <c r="H6" s="15">
        <f>G6</f>
        <v>46021</v>
      </c>
    </row>
    <row r="7" spans="2:8" ht="15.75" customHeight="1" x14ac:dyDescent="0.15"/>
    <row r="8" spans="2:8" ht="15.75" customHeight="1" x14ac:dyDescent="0.15">
      <c r="B8" s="89" t="s">
        <v>45</v>
      </c>
      <c r="C8" s="88"/>
      <c r="D8" s="86"/>
      <c r="E8" s="86"/>
      <c r="F8" s="86"/>
      <c r="G8" s="86"/>
      <c r="H8" s="86"/>
    </row>
    <row r="9" spans="2:8" ht="15.75" customHeight="1" outlineLevel="1" x14ac:dyDescent="0.15"/>
    <row r="10" spans="2:8" ht="15.75" customHeight="1" outlineLevel="1" x14ac:dyDescent="0.15">
      <c r="B10" s="98" t="s">
        <v>247</v>
      </c>
      <c r="C10" s="9" t="s">
        <v>35</v>
      </c>
      <c r="E10" s="26">
        <f>'Profit and Loss'!D29</f>
        <v>-1611256.5315571749</v>
      </c>
      <c r="F10" s="26">
        <f>'Profit and Loss'!E29</f>
        <v>41380041.549375616</v>
      </c>
      <c r="G10" s="26">
        <f>'Profit and Loss'!F29</f>
        <v>132981333.87915768</v>
      </c>
      <c r="H10" s="26"/>
    </row>
    <row r="11" spans="2:8" ht="15.75" customHeight="1" outlineLevel="1" x14ac:dyDescent="0.15">
      <c r="B11" s="98" t="s">
        <v>284</v>
      </c>
      <c r="C11" s="9" t="s">
        <v>35</v>
      </c>
      <c r="E11" s="26">
        <f>'Profit and Loss'!D30</f>
        <v>0</v>
      </c>
      <c r="F11" s="26">
        <f>'Profit and Loss'!E30</f>
        <v>14483014.542281466</v>
      </c>
      <c r="G11" s="26">
        <f>'Profit and Loss'!F30</f>
        <v>46543466.857705183</v>
      </c>
      <c r="H11" s="26"/>
    </row>
    <row r="12" spans="2:8" ht="15.75" customHeight="1" outlineLevel="1" x14ac:dyDescent="0.15">
      <c r="B12" s="99" t="s">
        <v>46</v>
      </c>
      <c r="C12" s="55" t="s">
        <v>35</v>
      </c>
      <c r="E12" s="45">
        <f t="shared" ref="E12:G12" si="1">E10-E11</f>
        <v>-1611256.5315571749</v>
      </c>
      <c r="F12" s="45">
        <f t="shared" si="1"/>
        <v>26897027.007094152</v>
      </c>
      <c r="G12" s="45">
        <f t="shared" si="1"/>
        <v>86437867.021452487</v>
      </c>
      <c r="H12" s="45"/>
    </row>
    <row r="13" spans="2:8" ht="15.75" customHeight="1" outlineLevel="1" x14ac:dyDescent="0.15">
      <c r="B13" s="98" t="s">
        <v>158</v>
      </c>
      <c r="C13" s="9" t="s">
        <v>35</v>
      </c>
      <c r="E13" s="26">
        <f>Calculation!D105</f>
        <v>4800</v>
      </c>
      <c r="F13" s="26">
        <f>Calculation!E105</f>
        <v>8400</v>
      </c>
      <c r="G13" s="26">
        <f>Calculation!F105</f>
        <v>8400</v>
      </c>
      <c r="H13" s="26"/>
    </row>
    <row r="14" spans="2:8" ht="15.75" customHeight="1" outlineLevel="1" x14ac:dyDescent="0.15">
      <c r="B14" s="98" t="s">
        <v>285</v>
      </c>
      <c r="C14" s="9" t="s">
        <v>35</v>
      </c>
      <c r="E14" s="26">
        <f>'Cash Flow'!D11</f>
        <v>-24000</v>
      </c>
      <c r="F14" s="26">
        <f>'Cash Flow'!E11</f>
        <v>-18000</v>
      </c>
      <c r="G14" s="26">
        <f>'Cash Flow'!F11</f>
        <v>0</v>
      </c>
      <c r="H14" s="26"/>
    </row>
    <row r="15" spans="2:8" ht="15.75" customHeight="1" outlineLevel="1" x14ac:dyDescent="0.15">
      <c r="B15" s="99" t="s">
        <v>45</v>
      </c>
      <c r="C15" s="55" t="s">
        <v>35</v>
      </c>
      <c r="D15" s="19">
        <v>0</v>
      </c>
      <c r="E15" s="45">
        <f t="shared" ref="E15:G15" si="2">E12+E13+E14</f>
        <v>-1630456.5315571749</v>
      </c>
      <c r="F15" s="45">
        <f t="shared" si="2"/>
        <v>26887427.007094152</v>
      </c>
      <c r="G15" s="45">
        <f t="shared" si="2"/>
        <v>86446267.021452487</v>
      </c>
      <c r="H15" s="45">
        <f>D27</f>
        <v>730928776.74990189</v>
      </c>
    </row>
    <row r="16" spans="2:8" ht="15.75" customHeight="1" x14ac:dyDescent="0.15">
      <c r="C16" s="9"/>
    </row>
    <row r="17" spans="2:8" ht="15.75" customHeight="1" x14ac:dyDescent="0.15">
      <c r="B17" s="105" t="s">
        <v>286</v>
      </c>
      <c r="C17" s="88"/>
      <c r="D17" s="86"/>
      <c r="E17" s="86"/>
      <c r="F17" s="86"/>
      <c r="G17" s="86"/>
      <c r="H17" s="86"/>
    </row>
    <row r="18" spans="2:8" ht="15.75" customHeight="1" outlineLevel="1" x14ac:dyDescent="0.15">
      <c r="C18" s="9"/>
    </row>
    <row r="19" spans="2:8" ht="15.75" customHeight="1" outlineLevel="1" x14ac:dyDescent="0.15">
      <c r="B19" s="98" t="s">
        <v>287</v>
      </c>
      <c r="C19" s="23" t="s">
        <v>35</v>
      </c>
      <c r="D19" s="36">
        <f>'Cash Flow'!D12</f>
        <v>1630456.5315571749</v>
      </c>
    </row>
    <row r="20" spans="2:8" ht="15.75" customHeight="1" outlineLevel="1" x14ac:dyDescent="0.15">
      <c r="B20" s="98" t="s">
        <v>65</v>
      </c>
      <c r="C20" s="23" t="s">
        <v>16</v>
      </c>
      <c r="D20" s="72">
        <v>0.35</v>
      </c>
      <c r="E20" s="117" t="s">
        <v>291</v>
      </c>
    </row>
    <row r="21" spans="2:8" ht="15.75" customHeight="1" outlineLevel="1" x14ac:dyDescent="0.15">
      <c r="B21" s="98" t="s">
        <v>288</v>
      </c>
      <c r="C21" s="23" t="s">
        <v>16</v>
      </c>
      <c r="D21" s="56">
        <v>0.03</v>
      </c>
      <c r="E21" s="133"/>
    </row>
    <row r="22" spans="2:8" ht="15.75" customHeight="1" outlineLevel="1" x14ac:dyDescent="0.15">
      <c r="B22" s="98" t="s">
        <v>289</v>
      </c>
      <c r="C22" s="23"/>
      <c r="D22" s="57">
        <v>8.9</v>
      </c>
      <c r="E22" s="117" t="s">
        <v>292</v>
      </c>
    </row>
    <row r="23" spans="2:8" ht="15.75" customHeight="1" outlineLevel="1" x14ac:dyDescent="0.15">
      <c r="C23" s="9"/>
    </row>
    <row r="24" spans="2:8" ht="15.75" customHeight="1" outlineLevel="1" x14ac:dyDescent="0.15">
      <c r="B24" s="99" t="s">
        <v>283</v>
      </c>
      <c r="C24" s="9"/>
    </row>
    <row r="25" spans="2:8" ht="15.75" customHeight="1" outlineLevel="1" x14ac:dyDescent="0.15">
      <c r="B25" s="98" t="s">
        <v>289</v>
      </c>
      <c r="C25" s="9" t="s">
        <v>35</v>
      </c>
      <c r="D25" s="26">
        <f>(G10+G13)*D22</f>
        <v>1183608631.5245035</v>
      </c>
    </row>
    <row r="26" spans="2:8" ht="15.75" customHeight="1" outlineLevel="1" x14ac:dyDescent="0.15">
      <c r="B26" s="98" t="s">
        <v>288</v>
      </c>
      <c r="C26" s="9" t="s">
        <v>35</v>
      </c>
      <c r="D26" s="26">
        <f>(G15*(1+D21))/(D20-D21)</f>
        <v>278248921.97530025</v>
      </c>
    </row>
    <row r="27" spans="2:8" ht="15.75" customHeight="1" outlineLevel="1" x14ac:dyDescent="0.15">
      <c r="B27" s="102" t="s">
        <v>290</v>
      </c>
      <c r="C27" s="58" t="s">
        <v>35</v>
      </c>
      <c r="D27" s="59">
        <f>AVERAGE(D25:D26)</f>
        <v>730928776.74990189</v>
      </c>
    </row>
    <row r="28" spans="2:8" ht="15.75" customHeight="1" x14ac:dyDescent="0.15">
      <c r="C28" s="9"/>
    </row>
    <row r="29" spans="2:8" ht="15.75" customHeight="1" x14ac:dyDescent="0.15">
      <c r="B29" s="108" t="s">
        <v>293</v>
      </c>
      <c r="C29" s="60" t="s">
        <v>35</v>
      </c>
      <c r="D29" s="61">
        <f>XNPV(D20,D15:H15,D6:H6)</f>
        <v>346045339.17122585</v>
      </c>
    </row>
    <row r="30" spans="2:8" ht="15.75" customHeight="1" x14ac:dyDescent="0.15">
      <c r="B30" s="109" t="s">
        <v>294</v>
      </c>
      <c r="C30" s="62" t="s">
        <v>16</v>
      </c>
      <c r="D30" s="63">
        <f>D19/D29</f>
        <v>4.7116847042705367E-3</v>
      </c>
      <c r="E30" s="46"/>
    </row>
    <row r="31" spans="2:8" ht="15.75" customHeight="1" x14ac:dyDescent="0.15"/>
    <row r="32" spans="2: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sheetProtection selectLockedCells="1" selectUnlockedCells="1"/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D1003"/>
  <sheetViews>
    <sheetView tabSelected="1" workbookViewId="0">
      <selection activeCell="J80" sqref="J80"/>
    </sheetView>
  </sheetViews>
  <sheetFormatPr baseColWidth="10" defaultColWidth="14.5" defaultRowHeight="15" customHeight="1" x14ac:dyDescent="0.15"/>
  <cols>
    <col min="1" max="1" width="32.83203125" customWidth="1"/>
    <col min="2" max="2" width="12.5" customWidth="1"/>
    <col min="3" max="3" width="12.1640625" customWidth="1"/>
    <col min="4" max="4" width="12.5" customWidth="1"/>
    <col min="5" max="26" width="8.6640625" customWidth="1"/>
  </cols>
  <sheetData>
    <row r="1" spans="1:4" ht="12.75" customHeight="1" x14ac:dyDescent="0.15"/>
    <row r="2" spans="1:4" ht="12.75" customHeight="1" x14ac:dyDescent="0.15">
      <c r="B2" s="64" t="str">
        <f>'Profit and Loss'!D5</f>
        <v>Year 1</v>
      </c>
      <c r="C2" s="64" t="str">
        <f>'Profit and Loss'!E5</f>
        <v>Year 2</v>
      </c>
      <c r="D2" s="64" t="str">
        <f>'Profit and Loss'!F5</f>
        <v>Year 3</v>
      </c>
    </row>
    <row r="3" spans="1:4" ht="12.75" customHeight="1" x14ac:dyDescent="0.15">
      <c r="A3" s="65" t="str">
        <f>Valuation!B10</f>
        <v>Profit before tax</v>
      </c>
      <c r="B3" s="66">
        <f>Valuation!E10</f>
        <v>-1611256.5315571749</v>
      </c>
      <c r="C3" s="66">
        <f>Valuation!F10</f>
        <v>41380041.549375616</v>
      </c>
      <c r="D3" s="66">
        <f>Valuation!G10</f>
        <v>132981333.87915768</v>
      </c>
    </row>
    <row r="4" spans="1:4" ht="12.75" customHeight="1" x14ac:dyDescent="0.15">
      <c r="A4" s="65" t="str">
        <f>Valuation!B11</f>
        <v>Tax payable</v>
      </c>
      <c r="B4" s="66">
        <f>Valuation!E11</f>
        <v>0</v>
      </c>
      <c r="C4" s="66">
        <f>Valuation!F11</f>
        <v>14483014.542281466</v>
      </c>
      <c r="D4" s="66">
        <f>Valuation!G11</f>
        <v>46543466.857705183</v>
      </c>
    </row>
    <row r="5" spans="1:4" ht="12.75" customHeight="1" x14ac:dyDescent="0.15">
      <c r="A5" s="65" t="str">
        <f>Valuation!B12</f>
        <v>NOPAT</v>
      </c>
      <c r="B5" s="66">
        <f>Valuation!E12</f>
        <v>-1611256.5315571749</v>
      </c>
      <c r="C5" s="66">
        <f>Valuation!F12</f>
        <v>26897027.007094152</v>
      </c>
      <c r="D5" s="66">
        <f>Valuation!G12</f>
        <v>86437867.021452487</v>
      </c>
    </row>
    <row r="6" spans="1:4" ht="12.75" customHeight="1" x14ac:dyDescent="0.15">
      <c r="A6" s="65" t="str">
        <f>Valuation!B13</f>
        <v>Amortization</v>
      </c>
      <c r="B6" s="66">
        <f>Valuation!E13</f>
        <v>4800</v>
      </c>
      <c r="C6" s="66">
        <f>Valuation!F13</f>
        <v>8400</v>
      </c>
      <c r="D6" s="66">
        <f>Valuation!G13</f>
        <v>8400</v>
      </c>
    </row>
    <row r="7" spans="1:4" ht="12.75" customHeight="1" x14ac:dyDescent="0.15">
      <c r="A7" s="65" t="str">
        <f>Valuation!B14</f>
        <v>Investments</v>
      </c>
      <c r="B7" s="66">
        <f>Valuation!E14</f>
        <v>-24000</v>
      </c>
      <c r="C7" s="66">
        <f>Valuation!F14</f>
        <v>-18000</v>
      </c>
      <c r="D7" s="66">
        <f>Valuation!G14</f>
        <v>0</v>
      </c>
    </row>
    <row r="8" spans="1:4" ht="12.75" customHeight="1" x14ac:dyDescent="0.15">
      <c r="A8" s="65" t="str">
        <f>Valuation!B15</f>
        <v>FCFF</v>
      </c>
      <c r="B8" s="66">
        <f>Valuation!E15</f>
        <v>-1630456.5315571749</v>
      </c>
      <c r="C8" s="66">
        <f>Valuation!F15</f>
        <v>26887427.007094152</v>
      </c>
      <c r="D8" s="66">
        <f>Valuation!G15</f>
        <v>86446267.021452487</v>
      </c>
    </row>
    <row r="9" spans="1:4" ht="12.75" customHeight="1" x14ac:dyDescent="0.15"/>
    <row r="10" spans="1:4" ht="12.75" customHeight="1" x14ac:dyDescent="0.15">
      <c r="A10" s="110" t="s">
        <v>287</v>
      </c>
      <c r="B10" s="66">
        <f>Valuation!D19</f>
        <v>1630456.5315571749</v>
      </c>
    </row>
    <row r="11" spans="1:4" ht="12.75" customHeight="1" x14ac:dyDescent="0.15">
      <c r="A11" s="110" t="s">
        <v>295</v>
      </c>
      <c r="B11" s="67">
        <v>0.05</v>
      </c>
      <c r="C11" s="13"/>
    </row>
    <row r="12" spans="1:4" ht="12.75" customHeight="1" x14ac:dyDescent="0.15">
      <c r="A12" s="111" t="s">
        <v>296</v>
      </c>
      <c r="B12" s="78">
        <f>((D8*B11)-B10)/B10</f>
        <v>1.6509834929144536</v>
      </c>
    </row>
    <row r="13" spans="1:4" ht="12.75" customHeight="1" x14ac:dyDescent="0.15">
      <c r="A13" s="98"/>
    </row>
    <row r="14" spans="1:4" ht="12.75" customHeight="1" x14ac:dyDescent="0.15">
      <c r="A14" s="99" t="s">
        <v>297</v>
      </c>
      <c r="B14" s="90">
        <f>B12*B10</f>
        <v>2691856.8195154495</v>
      </c>
      <c r="C14" s="77"/>
      <c r="D14" s="76"/>
    </row>
    <row r="15" spans="1:4" ht="12.75" customHeight="1" x14ac:dyDescent="0.15">
      <c r="A15" s="98"/>
      <c r="C15" s="77"/>
      <c r="D15" s="76"/>
    </row>
    <row r="16" spans="1:4" ht="12.75" customHeight="1" x14ac:dyDescent="0.15">
      <c r="A16" s="111" t="s">
        <v>298</v>
      </c>
      <c r="B16" s="78">
        <f>((Valuation!D29*B11)-B10)/B10</f>
        <v>9.6119155118086379</v>
      </c>
    </row>
    <row r="17" spans="1:4" ht="12.75" customHeight="1" x14ac:dyDescent="0.15">
      <c r="A17" s="98"/>
    </row>
    <row r="18" spans="1:4" ht="18.75" customHeight="1" x14ac:dyDescent="0.15">
      <c r="A18" s="112" t="s">
        <v>297</v>
      </c>
      <c r="B18" s="90">
        <f>B16*B10</f>
        <v>15671810.427004119</v>
      </c>
    </row>
    <row r="19" spans="1:4" ht="12.75" customHeight="1" x14ac:dyDescent="0.15">
      <c r="A19" s="98"/>
      <c r="B19" s="68"/>
    </row>
    <row r="20" spans="1:4" ht="12.75" customHeight="1" x14ac:dyDescent="0.15">
      <c r="D20" s="68"/>
    </row>
    <row r="21" spans="1:4" ht="12.75" customHeight="1" x14ac:dyDescent="0.15">
      <c r="A21" s="43" t="s">
        <v>47</v>
      </c>
    </row>
    <row r="22" spans="1:4" ht="12.75" customHeight="1" x14ac:dyDescent="0.15"/>
    <row r="23" spans="1:4" ht="12.75" customHeight="1" x14ac:dyDescent="0.15"/>
    <row r="24" spans="1:4" ht="12.75" customHeight="1" x14ac:dyDescent="0.15"/>
    <row r="25" spans="1:4" ht="12.75" customHeight="1" x14ac:dyDescent="0.15"/>
    <row r="26" spans="1:4" ht="12.75" customHeight="1" x14ac:dyDescent="0.15"/>
    <row r="27" spans="1:4" ht="12.75" customHeight="1" x14ac:dyDescent="0.15"/>
    <row r="28" spans="1:4" ht="12.75" customHeight="1" x14ac:dyDescent="0.15"/>
    <row r="29" spans="1:4" ht="12.75" customHeight="1" x14ac:dyDescent="0.15"/>
    <row r="30" spans="1:4" ht="12.75" customHeight="1" x14ac:dyDescent="0.15"/>
    <row r="31" spans="1:4" ht="12.75" customHeight="1" x14ac:dyDescent="0.15"/>
    <row r="32" spans="1:4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  <row r="1001" ht="12.75" customHeight="1" x14ac:dyDescent="0.15"/>
    <row r="1002" ht="12.75" customHeight="1" x14ac:dyDescent="0.15"/>
    <row r="1003" ht="12.75" customHeight="1" x14ac:dyDescent="0.15"/>
  </sheetData>
  <sheetProtection selectLockedCells="1" selectUnlockedCells="1"/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6f8dc8-b681-49d1-a434-125a5a1c5498">
      <Terms xmlns="http://schemas.microsoft.com/office/infopath/2007/PartnerControls"/>
    </lcf76f155ced4ddcb4097134ff3c332f>
    <TaxCatchAll xmlns="b5c1cdd4-6155-4fc3-bd49-a9536ee197f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E0035DF66C394FB1746C115E70BABC" ma:contentTypeVersion="11" ma:contentTypeDescription="Create a new document." ma:contentTypeScope="" ma:versionID="c0bdb8a5bb6631622f965c9ff5b8b14f">
  <xsd:schema xmlns:xsd="http://www.w3.org/2001/XMLSchema" xmlns:xs="http://www.w3.org/2001/XMLSchema" xmlns:p="http://schemas.microsoft.com/office/2006/metadata/properties" xmlns:ns2="846f8dc8-b681-49d1-a434-125a5a1c5498" xmlns:ns3="b5c1cdd4-6155-4fc3-bd49-a9536ee197fd" targetNamespace="http://schemas.microsoft.com/office/2006/metadata/properties" ma:root="true" ma:fieldsID="8e4e86512f953e0f77497d97787cebd2" ns2:_="" ns3:_="">
    <xsd:import namespace="846f8dc8-b681-49d1-a434-125a5a1c5498"/>
    <xsd:import namespace="b5c1cdd4-6155-4fc3-bd49-a9536ee19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f8dc8-b681-49d1-a434-125a5a1c54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af2947e-cc75-4fcf-80af-1c0cde821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1cdd4-6155-4fc3-bd49-a9536ee197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d4674b-c090-4863-8701-623ee4cfaa01}" ma:internalName="TaxCatchAll" ma:showField="CatchAllData" ma:web="b5c1cdd4-6155-4fc3-bd49-a9536ee19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7136BE-5760-443F-8967-FE8CEA65AA55}">
  <ds:schemaRefs>
    <ds:schemaRef ds:uri="http://schemas.microsoft.com/office/2006/metadata/properties"/>
    <ds:schemaRef ds:uri="http://schemas.microsoft.com/office/infopath/2007/PartnerControls"/>
    <ds:schemaRef ds:uri="846f8dc8-b681-49d1-a434-125a5a1c5498"/>
    <ds:schemaRef ds:uri="b5c1cdd4-6155-4fc3-bd49-a9536ee197fd"/>
  </ds:schemaRefs>
</ds:datastoreItem>
</file>

<file path=customXml/itemProps2.xml><?xml version="1.0" encoding="utf-8"?>
<ds:datastoreItem xmlns:ds="http://schemas.openxmlformats.org/officeDocument/2006/customXml" ds:itemID="{8B28895E-7F25-4121-BDCE-4EB6AA79D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f8dc8-b681-49d1-a434-125a5a1c5498"/>
    <ds:schemaRef ds:uri="b5c1cdd4-6155-4fc3-bd49-a9536ee197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F187B5-184E-4C12-BB5D-B2B2F28543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Input</vt:lpstr>
      <vt:lpstr>Calculation</vt:lpstr>
      <vt:lpstr>Profit and Loss</vt:lpstr>
      <vt:lpstr>Cash Flow</vt:lpstr>
      <vt:lpstr>Balance Sheet</vt:lpstr>
      <vt:lpstr>Valuation</vt:lpstr>
      <vt:lpstr>ROI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Boér László</dc:creator>
  <cp:keywords/>
  <dc:description/>
  <cp:lastModifiedBy>Erika Jancso</cp:lastModifiedBy>
  <cp:revision/>
  <cp:lastPrinted>2023-08-08T10:08:30Z</cp:lastPrinted>
  <dcterms:created xsi:type="dcterms:W3CDTF">2021-07-19T07:34:49Z</dcterms:created>
  <dcterms:modified xsi:type="dcterms:W3CDTF">2023-10-04T18:42:16Z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0x010100D7E0035DF66C394FB1746C115E70BABC</vt:lpwstr>
  </property>
  <property fmtid="{D5CDD505-2E9C-101B-9397-08002B2CF9AE}" pid="3" name="MediaServiceImageTags">
    <vt:lpwstr/>
  </property>
</Properties>
</file>