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oerl\Desktop\BB\iLex\LEAN Canvas\Végleges anyagok\"/>
    </mc:Choice>
  </mc:AlternateContent>
  <xr:revisionPtr revIDLastSave="0" documentId="8_{B97B21CF-A4B3-4DED-95F6-021A3D462C75}" xr6:coauthVersionLast="47" xr6:coauthVersionMax="47" xr10:uidLastSave="{00000000-0000-0000-0000-000000000000}"/>
  <bookViews>
    <workbookView xWindow="-120" yWindow="-16320" windowWidth="29040" windowHeight="16440" xr2:uid="{00000000-000D-0000-FFFF-FFFF00000000}"/>
  </bookViews>
  <sheets>
    <sheet name="Info" sheetId="1" r:id="rId1"/>
    <sheet name="Inputs" sheetId="2" r:id="rId2"/>
    <sheet name="Calculations" sheetId="3" r:id="rId3"/>
    <sheet name="Income Statement" sheetId="4" r:id="rId4"/>
    <sheet name="Financing" sheetId="5" r:id="rId5"/>
    <sheet name="Cash Flow" sheetId="6" r:id="rId6"/>
    <sheet name="Balance Sheet" sheetId="7" r:id="rId7"/>
    <sheet name="Valuation" sheetId="8" r:id="rId8"/>
    <sheet name="Investor Return" sheetId="9" r:id="rId9"/>
    <sheet name="5Y – Assumptions" sheetId="10" r:id="rId10"/>
    <sheet name="5Y – Revenue Model" sheetId="11" r:id="rId11"/>
    <sheet name="5Y – Cost Model" sheetId="12" r:id="rId12"/>
    <sheet name="5Y – Results"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13" l="1"/>
  <c r="F31" i="13"/>
  <c r="E31" i="13"/>
  <c r="D31" i="13"/>
  <c r="C31" i="13"/>
  <c r="G30" i="13"/>
  <c r="F30" i="13"/>
  <c r="E30" i="13"/>
  <c r="E29" i="13" s="1"/>
  <c r="F18" i="6" s="1"/>
  <c r="C30" i="13"/>
  <c r="F29" i="13"/>
  <c r="C29" i="13"/>
  <c r="D18" i="6" s="1"/>
  <c r="J9" i="13"/>
  <c r="J8" i="13"/>
  <c r="G4" i="13"/>
  <c r="J4" i="13" s="1"/>
  <c r="F4" i="13"/>
  <c r="G26" i="12"/>
  <c r="F26" i="12"/>
  <c r="E26" i="12"/>
  <c r="D26" i="12"/>
  <c r="C26" i="12"/>
  <c r="G22" i="12"/>
  <c r="F22" i="12"/>
  <c r="E22" i="12"/>
  <c r="D22" i="12"/>
  <c r="C22" i="12"/>
  <c r="G21" i="12"/>
  <c r="F21" i="12"/>
  <c r="E21" i="12"/>
  <c r="F18" i="4" s="1"/>
  <c r="D21" i="12"/>
  <c r="E18" i="4" s="1"/>
  <c r="C21" i="12"/>
  <c r="G20" i="12"/>
  <c r="F20" i="12"/>
  <c r="E20" i="12"/>
  <c r="D20" i="12"/>
  <c r="C20" i="12"/>
  <c r="I129" i="2" s="1"/>
  <c r="G19" i="12"/>
  <c r="F19" i="12"/>
  <c r="E19" i="12"/>
  <c r="D19" i="12"/>
  <c r="C19" i="12"/>
  <c r="G18" i="12"/>
  <c r="F18" i="12"/>
  <c r="E18" i="12"/>
  <c r="D18" i="12"/>
  <c r="C18" i="12"/>
  <c r="G17" i="12"/>
  <c r="F17" i="12"/>
  <c r="E17" i="12"/>
  <c r="D17" i="12"/>
  <c r="C17" i="12"/>
  <c r="G16" i="12"/>
  <c r="F16" i="12"/>
  <c r="E16" i="12"/>
  <c r="F16" i="4" s="1"/>
  <c r="D16" i="12"/>
  <c r="C16" i="12"/>
  <c r="G15" i="12"/>
  <c r="F15" i="12"/>
  <c r="E15" i="12"/>
  <c r="D15" i="12"/>
  <c r="C15" i="12"/>
  <c r="D19" i="4" s="1"/>
  <c r="G14" i="12"/>
  <c r="F14" i="12"/>
  <c r="E14" i="12"/>
  <c r="D14" i="12"/>
  <c r="C14" i="12"/>
  <c r="G13" i="12"/>
  <c r="F13" i="12"/>
  <c r="E13" i="12"/>
  <c r="D13" i="12"/>
  <c r="E15" i="4" s="1"/>
  <c r="C13" i="12"/>
  <c r="G12" i="12"/>
  <c r="F12" i="12"/>
  <c r="E12" i="12"/>
  <c r="F14" i="4" s="1"/>
  <c r="D12" i="12"/>
  <c r="C12" i="12"/>
  <c r="E137" i="2" s="1"/>
  <c r="G11" i="12"/>
  <c r="F11" i="12"/>
  <c r="E11" i="12"/>
  <c r="D11" i="12"/>
  <c r="C11" i="12"/>
  <c r="G10" i="12"/>
  <c r="F10" i="12"/>
  <c r="E10" i="12"/>
  <c r="T179" i="2" s="1"/>
  <c r="F64" i="3" s="1"/>
  <c r="D10" i="12"/>
  <c r="S213" i="2" s="1"/>
  <c r="C10" i="12"/>
  <c r="K123" i="2" s="1"/>
  <c r="G9" i="12"/>
  <c r="F9" i="12"/>
  <c r="E9" i="12"/>
  <c r="T214" i="2" s="1"/>
  <c r="F93" i="3" s="1"/>
  <c r="D9" i="12"/>
  <c r="C9" i="12"/>
  <c r="G8" i="12"/>
  <c r="F8" i="12"/>
  <c r="F23" i="12" s="1"/>
  <c r="F6" i="13" s="1"/>
  <c r="E8" i="12"/>
  <c r="D8" i="12"/>
  <c r="C8" i="12"/>
  <c r="G22" i="11"/>
  <c r="F22" i="11"/>
  <c r="G21" i="11"/>
  <c r="E21" i="11"/>
  <c r="E22" i="11" s="1"/>
  <c r="G20" i="11"/>
  <c r="F20" i="11"/>
  <c r="E20" i="11"/>
  <c r="G19" i="11"/>
  <c r="F19" i="11"/>
  <c r="F21" i="11" s="1"/>
  <c r="E19" i="11"/>
  <c r="G18" i="11"/>
  <c r="F18" i="11"/>
  <c r="E18" i="11"/>
  <c r="G14" i="11"/>
  <c r="G13" i="11"/>
  <c r="G7" i="12" s="1"/>
  <c r="F13" i="11"/>
  <c r="F7" i="12" s="1"/>
  <c r="G9" i="11"/>
  <c r="F9" i="11"/>
  <c r="F8" i="11"/>
  <c r="G8" i="11" s="1"/>
  <c r="G7" i="11"/>
  <c r="F7" i="11"/>
  <c r="E10" i="9"/>
  <c r="D10" i="9"/>
  <c r="C10" i="9"/>
  <c r="E8" i="9"/>
  <c r="D8" i="9"/>
  <c r="C8" i="9"/>
  <c r="E7" i="9"/>
  <c r="D7" i="9"/>
  <c r="D6" i="9"/>
  <c r="C6" i="9"/>
  <c r="D31" i="8"/>
  <c r="G14" i="8"/>
  <c r="G12" i="8"/>
  <c r="F12" i="8"/>
  <c r="E12" i="8"/>
  <c r="D12" i="8"/>
  <c r="H6" i="8"/>
  <c r="G6" i="8"/>
  <c r="F22" i="7"/>
  <c r="D32" i="8" s="1"/>
  <c r="E22" i="7"/>
  <c r="D22" i="7"/>
  <c r="F16" i="7"/>
  <c r="F12" i="7" s="1"/>
  <c r="E16" i="7"/>
  <c r="E12" i="7" s="1"/>
  <c r="F8" i="7"/>
  <c r="E8" i="7"/>
  <c r="D8" i="7"/>
  <c r="F7" i="7"/>
  <c r="E7" i="7"/>
  <c r="F20" i="6"/>
  <c r="E20" i="6"/>
  <c r="F19" i="6" s="1"/>
  <c r="D20" i="6"/>
  <c r="E19" i="6"/>
  <c r="D19" i="6"/>
  <c r="F15" i="6"/>
  <c r="E15" i="6"/>
  <c r="D15" i="6"/>
  <c r="D16" i="6" s="1"/>
  <c r="D14" i="6"/>
  <c r="F13" i="6"/>
  <c r="E13" i="6"/>
  <c r="D13" i="6"/>
  <c r="F20" i="5"/>
  <c r="E20" i="5"/>
  <c r="D20" i="5"/>
  <c r="F19" i="5"/>
  <c r="E19" i="5"/>
  <c r="D19" i="5"/>
  <c r="F17" i="5"/>
  <c r="E17" i="5"/>
  <c r="D17" i="5"/>
  <c r="F16" i="5"/>
  <c r="E16" i="5"/>
  <c r="D16" i="5"/>
  <c r="F13" i="5"/>
  <c r="E13" i="5"/>
  <c r="D13" i="5"/>
  <c r="F11" i="5"/>
  <c r="F14" i="6" s="1"/>
  <c r="E11" i="5"/>
  <c r="D11" i="5"/>
  <c r="D18" i="5" s="1"/>
  <c r="E19" i="4"/>
  <c r="F17" i="4"/>
  <c r="E17" i="4"/>
  <c r="D17" i="4"/>
  <c r="F15" i="4"/>
  <c r="D15" i="4"/>
  <c r="D14" i="4"/>
  <c r="D12" i="4"/>
  <c r="F8" i="4"/>
  <c r="E8" i="4"/>
  <c r="D8" i="4"/>
  <c r="F106" i="3"/>
  <c r="F105" i="3" s="1"/>
  <c r="E106" i="3"/>
  <c r="D106" i="3"/>
  <c r="E105" i="3"/>
  <c r="D105" i="3"/>
  <c r="F101" i="3"/>
  <c r="F100" i="3" s="1"/>
  <c r="E101" i="3"/>
  <c r="E100" i="3" s="1"/>
  <c r="D101" i="3"/>
  <c r="D100" i="3" s="1"/>
  <c r="B101" i="3"/>
  <c r="B100" i="3"/>
  <c r="B98" i="3"/>
  <c r="B97" i="3"/>
  <c r="B96" i="3"/>
  <c r="F94" i="3"/>
  <c r="E94" i="3"/>
  <c r="D94" i="3"/>
  <c r="B94" i="3"/>
  <c r="B93" i="3"/>
  <c r="B92" i="3"/>
  <c r="B91" i="3"/>
  <c r="B87" i="3"/>
  <c r="B86" i="3"/>
  <c r="B85" i="3"/>
  <c r="B84" i="3"/>
  <c r="B81" i="3"/>
  <c r="B80" i="3"/>
  <c r="B79" i="3"/>
  <c r="B77" i="3"/>
  <c r="F74" i="3"/>
  <c r="F73" i="3" s="1"/>
  <c r="E74" i="3"/>
  <c r="E73" i="3" s="1"/>
  <c r="D74" i="3"/>
  <c r="D73" i="3" s="1"/>
  <c r="B74" i="3"/>
  <c r="B73" i="3"/>
  <c r="B70" i="3"/>
  <c r="B69" i="3"/>
  <c r="B68" i="3"/>
  <c r="F66" i="3"/>
  <c r="E66" i="3"/>
  <c r="D66" i="3"/>
  <c r="B66" i="3"/>
  <c r="F65" i="3"/>
  <c r="B65" i="3"/>
  <c r="B64" i="3"/>
  <c r="B63" i="3"/>
  <c r="B59" i="3"/>
  <c r="B58" i="3"/>
  <c r="B57" i="3"/>
  <c r="B56" i="3"/>
  <c r="B53" i="3"/>
  <c r="B52" i="3"/>
  <c r="B51" i="3"/>
  <c r="B49" i="3"/>
  <c r="B47" i="3"/>
  <c r="B46" i="3"/>
  <c r="B45" i="3"/>
  <c r="B44" i="3"/>
  <c r="B43" i="3"/>
  <c r="B41" i="3"/>
  <c r="B40" i="3"/>
  <c r="B38" i="3"/>
  <c r="B37" i="3"/>
  <c r="B36" i="3"/>
  <c r="B33" i="3"/>
  <c r="C31" i="3"/>
  <c r="B31" i="3"/>
  <c r="C30" i="3"/>
  <c r="B30" i="3"/>
  <c r="B29" i="3"/>
  <c r="B27" i="3"/>
  <c r="F24" i="3"/>
  <c r="E24" i="3"/>
  <c r="F22" i="3"/>
  <c r="B21" i="3"/>
  <c r="B15" i="3"/>
  <c r="B9" i="3"/>
  <c r="R220" i="2"/>
  <c r="Q220" i="2"/>
  <c r="L220" i="2"/>
  <c r="I220" i="2"/>
  <c r="H220" i="2"/>
  <c r="G220" i="2"/>
  <c r="F220" i="2"/>
  <c r="E220" i="2"/>
  <c r="D220" i="2"/>
  <c r="T219" i="2"/>
  <c r="F97" i="3" s="1"/>
  <c r="S219" i="2"/>
  <c r="R219" i="2"/>
  <c r="P219" i="2"/>
  <c r="O219" i="2"/>
  <c r="N219" i="2"/>
  <c r="M219" i="2"/>
  <c r="L219" i="2"/>
  <c r="K219" i="2"/>
  <c r="J219" i="2"/>
  <c r="I219" i="2"/>
  <c r="H219" i="2"/>
  <c r="G219" i="2"/>
  <c r="F219" i="2"/>
  <c r="E219" i="2"/>
  <c r="D219" i="2"/>
  <c r="P214" i="2"/>
  <c r="O214" i="2"/>
  <c r="N214" i="2"/>
  <c r="M214" i="2"/>
  <c r="L214" i="2"/>
  <c r="K214" i="2"/>
  <c r="J214" i="2"/>
  <c r="I214" i="2"/>
  <c r="H214" i="2"/>
  <c r="G214" i="2"/>
  <c r="F214" i="2"/>
  <c r="E214" i="2"/>
  <c r="D214" i="2"/>
  <c r="T213" i="2"/>
  <c r="F92" i="3" s="1"/>
  <c r="P213" i="2"/>
  <c r="O213" i="2"/>
  <c r="N213" i="2"/>
  <c r="M213" i="2"/>
  <c r="L213" i="2"/>
  <c r="K213" i="2"/>
  <c r="J213" i="2"/>
  <c r="I213" i="2"/>
  <c r="H213" i="2"/>
  <c r="G213" i="2"/>
  <c r="F213" i="2"/>
  <c r="E213" i="2"/>
  <c r="D213" i="2"/>
  <c r="Q210" i="2"/>
  <c r="P210" i="2"/>
  <c r="O210" i="2"/>
  <c r="N210" i="2"/>
  <c r="M210" i="2"/>
  <c r="L210" i="2"/>
  <c r="K210" i="2"/>
  <c r="J210" i="2"/>
  <c r="I210" i="2"/>
  <c r="H210" i="2"/>
  <c r="G210" i="2"/>
  <c r="F210" i="2"/>
  <c r="E210" i="2"/>
  <c r="D210" i="2"/>
  <c r="R209" i="2"/>
  <c r="Q209" i="2"/>
  <c r="P209" i="2"/>
  <c r="O209" i="2"/>
  <c r="N209" i="2"/>
  <c r="M209" i="2"/>
  <c r="L209" i="2"/>
  <c r="K209" i="2"/>
  <c r="J209" i="2"/>
  <c r="I209" i="2"/>
  <c r="H209" i="2"/>
  <c r="G209" i="2"/>
  <c r="F209" i="2"/>
  <c r="E209" i="2"/>
  <c r="D209" i="2"/>
  <c r="S208" i="2"/>
  <c r="R208" i="2"/>
  <c r="Q208" i="2"/>
  <c r="P208" i="2"/>
  <c r="O208" i="2"/>
  <c r="N208" i="2"/>
  <c r="M208" i="2"/>
  <c r="L208" i="2"/>
  <c r="K208" i="2"/>
  <c r="J208" i="2"/>
  <c r="I208" i="2"/>
  <c r="H208" i="2"/>
  <c r="D85" i="3" s="1"/>
  <c r="G208" i="2"/>
  <c r="F208" i="2"/>
  <c r="E208" i="2"/>
  <c r="D208" i="2"/>
  <c r="S207" i="2"/>
  <c r="R207" i="2"/>
  <c r="Q207" i="2"/>
  <c r="P207" i="2"/>
  <c r="E84" i="3" s="1"/>
  <c r="O207" i="2"/>
  <c r="N207" i="2"/>
  <c r="M207" i="2"/>
  <c r="L207" i="2"/>
  <c r="K207" i="2"/>
  <c r="J207" i="2"/>
  <c r="I207" i="2"/>
  <c r="H207" i="2"/>
  <c r="G207" i="2"/>
  <c r="F207" i="2"/>
  <c r="E207" i="2"/>
  <c r="D207" i="2"/>
  <c r="T186" i="2"/>
  <c r="F70" i="3" s="1"/>
  <c r="S186" i="2"/>
  <c r="R186" i="2"/>
  <c r="Q186" i="2"/>
  <c r="P186" i="2"/>
  <c r="E70" i="3" s="1"/>
  <c r="O186" i="2"/>
  <c r="N186" i="2"/>
  <c r="M186" i="2"/>
  <c r="L186" i="2"/>
  <c r="I186" i="2"/>
  <c r="H186" i="2"/>
  <c r="G186" i="2"/>
  <c r="F186" i="2"/>
  <c r="E186" i="2"/>
  <c r="D186" i="2"/>
  <c r="T185" i="2"/>
  <c r="F69" i="3" s="1"/>
  <c r="S185" i="2"/>
  <c r="R185" i="2"/>
  <c r="Q185" i="2"/>
  <c r="P185" i="2"/>
  <c r="E69" i="3" s="1"/>
  <c r="O185" i="2"/>
  <c r="N185" i="2"/>
  <c r="M185" i="2"/>
  <c r="L185" i="2"/>
  <c r="K185" i="2"/>
  <c r="J185" i="2"/>
  <c r="I185" i="2"/>
  <c r="H185" i="2"/>
  <c r="G185" i="2"/>
  <c r="F185" i="2"/>
  <c r="E185" i="2"/>
  <c r="D185" i="2"/>
  <c r="T180" i="2"/>
  <c r="R180" i="2"/>
  <c r="Q180" i="2"/>
  <c r="P180" i="2"/>
  <c r="O180" i="2"/>
  <c r="N180" i="2"/>
  <c r="M180" i="2"/>
  <c r="L180" i="2"/>
  <c r="K180" i="2"/>
  <c r="J180" i="2"/>
  <c r="I180" i="2"/>
  <c r="H180" i="2"/>
  <c r="G180" i="2"/>
  <c r="F180" i="2"/>
  <c r="E180" i="2"/>
  <c r="D180" i="2"/>
  <c r="R179" i="2"/>
  <c r="Q179" i="2"/>
  <c r="P179" i="2"/>
  <c r="N179" i="2"/>
  <c r="M179" i="2"/>
  <c r="L179" i="2"/>
  <c r="K179" i="2"/>
  <c r="J179" i="2"/>
  <c r="I179" i="2"/>
  <c r="H179" i="2"/>
  <c r="G179" i="2"/>
  <c r="F179" i="2"/>
  <c r="E179" i="2"/>
  <c r="D179" i="2"/>
  <c r="O179" i="2" s="1"/>
  <c r="R176" i="2"/>
  <c r="Q176" i="2"/>
  <c r="P176" i="2"/>
  <c r="O176" i="2"/>
  <c r="N176" i="2"/>
  <c r="M176" i="2"/>
  <c r="L176" i="2"/>
  <c r="K176" i="2"/>
  <c r="J176" i="2"/>
  <c r="I176" i="2"/>
  <c r="H176" i="2"/>
  <c r="G176" i="2"/>
  <c r="F176" i="2"/>
  <c r="E176" i="2"/>
  <c r="D176" i="2"/>
  <c r="S175" i="2"/>
  <c r="R175" i="2"/>
  <c r="Q175" i="2"/>
  <c r="P175" i="2"/>
  <c r="O175" i="2"/>
  <c r="N175" i="2"/>
  <c r="M175" i="2"/>
  <c r="L175" i="2"/>
  <c r="K175" i="2"/>
  <c r="J175" i="2"/>
  <c r="I175" i="2"/>
  <c r="H175" i="2"/>
  <c r="G175" i="2"/>
  <c r="F175" i="2"/>
  <c r="E175" i="2"/>
  <c r="D175" i="2"/>
  <c r="S174" i="2"/>
  <c r="R174" i="2"/>
  <c r="Q174" i="2"/>
  <c r="O174" i="2"/>
  <c r="N174" i="2"/>
  <c r="M174" i="2"/>
  <c r="L174" i="2"/>
  <c r="K174" i="2"/>
  <c r="J174" i="2"/>
  <c r="I174" i="2"/>
  <c r="H174" i="2"/>
  <c r="G174" i="2"/>
  <c r="F174" i="2"/>
  <c r="E174" i="2"/>
  <c r="D174" i="2"/>
  <c r="S173" i="2"/>
  <c r="R173" i="2"/>
  <c r="O173" i="2"/>
  <c r="N173" i="2"/>
  <c r="M173" i="2"/>
  <c r="L173" i="2"/>
  <c r="K173" i="2"/>
  <c r="J173" i="2"/>
  <c r="I173" i="2"/>
  <c r="H173" i="2"/>
  <c r="G173" i="2"/>
  <c r="F173" i="2"/>
  <c r="E173" i="2"/>
  <c r="D173" i="2"/>
  <c r="R139" i="2"/>
  <c r="Q139" i="2"/>
  <c r="P139" i="2"/>
  <c r="N139" i="2"/>
  <c r="M139" i="2"/>
  <c r="L139" i="2"/>
  <c r="K139" i="2"/>
  <c r="J139" i="2"/>
  <c r="I139" i="2"/>
  <c r="H139" i="2"/>
  <c r="G139" i="2"/>
  <c r="F139" i="2"/>
  <c r="E139" i="2"/>
  <c r="D139" i="2"/>
  <c r="O139" i="2" s="1"/>
  <c r="N138" i="2"/>
  <c r="M138" i="2"/>
  <c r="L138" i="2"/>
  <c r="N137" i="2"/>
  <c r="M137" i="2"/>
  <c r="L137" i="2"/>
  <c r="K137" i="2"/>
  <c r="J137" i="2"/>
  <c r="I137" i="2"/>
  <c r="H137" i="2"/>
  <c r="G137" i="2"/>
  <c r="F137" i="2"/>
  <c r="D137" i="2"/>
  <c r="S136" i="2"/>
  <c r="R136" i="2"/>
  <c r="Q136" i="2"/>
  <c r="P136" i="2"/>
  <c r="O136" i="2"/>
  <c r="N136" i="2"/>
  <c r="M136" i="2"/>
  <c r="L136" i="2"/>
  <c r="K136" i="2"/>
  <c r="J136" i="2"/>
  <c r="I136" i="2"/>
  <c r="H136" i="2"/>
  <c r="G136" i="2"/>
  <c r="F136" i="2"/>
  <c r="E136" i="2"/>
  <c r="D136" i="2"/>
  <c r="T132" i="2"/>
  <c r="F41" i="3" s="1"/>
  <c r="F40" i="3" s="1"/>
  <c r="R132" i="2"/>
  <c r="Q132" i="2"/>
  <c r="P132" i="2"/>
  <c r="N132" i="2"/>
  <c r="M132" i="2"/>
  <c r="L132" i="2"/>
  <c r="K132" i="2"/>
  <c r="J132" i="2"/>
  <c r="I132" i="2"/>
  <c r="H132" i="2"/>
  <c r="F132" i="2"/>
  <c r="E132" i="2"/>
  <c r="D132" i="2"/>
  <c r="T129" i="2"/>
  <c r="F38" i="3" s="1"/>
  <c r="S129" i="2"/>
  <c r="R129" i="2"/>
  <c r="Q129" i="2"/>
  <c r="P129" i="2"/>
  <c r="E38" i="3" s="1"/>
  <c r="O129" i="2"/>
  <c r="N129" i="2"/>
  <c r="M129" i="2"/>
  <c r="L129" i="2"/>
  <c r="E129" i="2"/>
  <c r="T128" i="2"/>
  <c r="F37" i="3" s="1"/>
  <c r="F36" i="3" s="1"/>
  <c r="S128" i="2"/>
  <c r="R128" i="2"/>
  <c r="Q128" i="2"/>
  <c r="P128" i="2"/>
  <c r="E37" i="3" s="1"/>
  <c r="O128" i="2"/>
  <c r="N128" i="2"/>
  <c r="M128" i="2"/>
  <c r="L128" i="2"/>
  <c r="K128" i="2"/>
  <c r="J128" i="2"/>
  <c r="I128" i="2"/>
  <c r="H128" i="2"/>
  <c r="G128" i="2"/>
  <c r="F128" i="2"/>
  <c r="E128" i="2"/>
  <c r="D128" i="2"/>
  <c r="T124" i="2"/>
  <c r="R124" i="2"/>
  <c r="Q124" i="2"/>
  <c r="P124" i="2"/>
  <c r="N124" i="2"/>
  <c r="M124" i="2"/>
  <c r="D124" i="2"/>
  <c r="T123" i="2"/>
  <c r="F34" i="3" s="1"/>
  <c r="F33" i="3" s="1"/>
  <c r="R123" i="2"/>
  <c r="Q123" i="2"/>
  <c r="P123" i="2"/>
  <c r="N123" i="2"/>
  <c r="M123" i="2"/>
  <c r="F123" i="2"/>
  <c r="D123" i="2"/>
  <c r="L105" i="2"/>
  <c r="L107" i="2" s="1"/>
  <c r="L111" i="2" s="1"/>
  <c r="D105" i="2"/>
  <c r="D107" i="2" s="1"/>
  <c r="D111" i="2" s="1"/>
  <c r="T103" i="2"/>
  <c r="T105" i="2" s="1"/>
  <c r="S103" i="2"/>
  <c r="S105" i="2" s="1"/>
  <c r="R103" i="2"/>
  <c r="R105" i="2" s="1"/>
  <c r="R107" i="2" s="1"/>
  <c r="R111" i="2" s="1"/>
  <c r="Q103" i="2"/>
  <c r="Q105" i="2" s="1"/>
  <c r="Q107" i="2" s="1"/>
  <c r="Q111" i="2" s="1"/>
  <c r="P103" i="2"/>
  <c r="P105" i="2" s="1"/>
  <c r="P107" i="2" s="1"/>
  <c r="P111" i="2" s="1"/>
  <c r="O103" i="2"/>
  <c r="O105" i="2" s="1"/>
  <c r="N103" i="2"/>
  <c r="N105" i="2" s="1"/>
  <c r="N107" i="2" s="1"/>
  <c r="N111" i="2" s="1"/>
  <c r="M103" i="2"/>
  <c r="M105" i="2" s="1"/>
  <c r="M107" i="2" s="1"/>
  <c r="M111" i="2" s="1"/>
  <c r="L103" i="2"/>
  <c r="K103" i="2"/>
  <c r="K105" i="2" s="1"/>
  <c r="K107" i="2" s="1"/>
  <c r="K111" i="2" s="1"/>
  <c r="J103" i="2"/>
  <c r="J105" i="2" s="1"/>
  <c r="J107" i="2" s="1"/>
  <c r="J111" i="2" s="1"/>
  <c r="I103" i="2"/>
  <c r="I105" i="2" s="1"/>
  <c r="I107" i="2" s="1"/>
  <c r="I111" i="2" s="1"/>
  <c r="H103" i="2"/>
  <c r="H105" i="2" s="1"/>
  <c r="H107" i="2" s="1"/>
  <c r="H111" i="2" s="1"/>
  <c r="G103" i="2"/>
  <c r="G105" i="2" s="1"/>
  <c r="G107" i="2" s="1"/>
  <c r="G111" i="2" s="1"/>
  <c r="F103" i="2"/>
  <c r="F105" i="2" s="1"/>
  <c r="F107" i="2" s="1"/>
  <c r="F111" i="2" s="1"/>
  <c r="E103" i="2"/>
  <c r="E105" i="2" s="1"/>
  <c r="E107" i="2" s="1"/>
  <c r="E111" i="2" s="1"/>
  <c r="D103" i="2"/>
  <c r="S100" i="2"/>
  <c r="O100" i="2"/>
  <c r="N100" i="2"/>
  <c r="M100" i="2"/>
  <c r="G100" i="2"/>
  <c r="E100" i="2"/>
  <c r="T97" i="2"/>
  <c r="T100" i="2" s="1"/>
  <c r="F23" i="3" s="1"/>
  <c r="S97" i="2"/>
  <c r="R97" i="2"/>
  <c r="R100" i="2" s="1"/>
  <c r="Q97" i="2"/>
  <c r="Q100" i="2" s="1"/>
  <c r="P97" i="2"/>
  <c r="P100" i="2" s="1"/>
  <c r="O97" i="2"/>
  <c r="N97" i="2"/>
  <c r="M97" i="2"/>
  <c r="L97" i="2"/>
  <c r="L100" i="2" s="1"/>
  <c r="K97" i="2"/>
  <c r="K100" i="2" s="1"/>
  <c r="J97" i="2"/>
  <c r="J100" i="2" s="1"/>
  <c r="I97" i="2"/>
  <c r="I100" i="2" s="1"/>
  <c r="H97" i="2"/>
  <c r="H100" i="2" s="1"/>
  <c r="G97" i="2"/>
  <c r="F97" i="2"/>
  <c r="F100" i="2" s="1"/>
  <c r="E97" i="2"/>
  <c r="D97" i="2"/>
  <c r="D100" i="2" s="1"/>
  <c r="T90" i="2"/>
  <c r="S90" i="2"/>
  <c r="R90" i="2"/>
  <c r="Q90" i="2"/>
  <c r="P90" i="2"/>
  <c r="O90" i="2"/>
  <c r="N90" i="2"/>
  <c r="M90" i="2"/>
  <c r="L90" i="2"/>
  <c r="K90" i="2"/>
  <c r="J90" i="2"/>
  <c r="I90" i="2"/>
  <c r="H90" i="2"/>
  <c r="G90" i="2"/>
  <c r="F90" i="2"/>
  <c r="E90" i="2"/>
  <c r="D90" i="2"/>
  <c r="T76" i="2"/>
  <c r="S76" i="2"/>
  <c r="R76" i="2"/>
  <c r="Q76" i="2"/>
  <c r="P76" i="2"/>
  <c r="M73" i="2"/>
  <c r="M75" i="2" s="1"/>
  <c r="M79" i="2" s="1"/>
  <c r="G73" i="2"/>
  <c r="G75" i="2" s="1"/>
  <c r="G79" i="2" s="1"/>
  <c r="F73" i="2"/>
  <c r="F75" i="2" s="1"/>
  <c r="F79" i="2" s="1"/>
  <c r="P71" i="2"/>
  <c r="P73" i="2" s="1"/>
  <c r="P75" i="2" s="1"/>
  <c r="L71" i="2"/>
  <c r="L73" i="2" s="1"/>
  <c r="L75" i="2" s="1"/>
  <c r="L79" i="2" s="1"/>
  <c r="J71" i="2"/>
  <c r="J73" i="2" s="1"/>
  <c r="J75" i="2" s="1"/>
  <c r="J79" i="2" s="1"/>
  <c r="I71" i="2"/>
  <c r="I73" i="2" s="1"/>
  <c r="I75" i="2" s="1"/>
  <c r="I79" i="2" s="1"/>
  <c r="H71" i="2"/>
  <c r="H73" i="2" s="1"/>
  <c r="H75" i="2" s="1"/>
  <c r="H79" i="2" s="1"/>
  <c r="G71" i="2"/>
  <c r="F71" i="2"/>
  <c r="E71" i="2"/>
  <c r="E73" i="2" s="1"/>
  <c r="E75" i="2" s="1"/>
  <c r="E79" i="2" s="1"/>
  <c r="D71" i="2"/>
  <c r="D73" i="2" s="1"/>
  <c r="D75" i="2" s="1"/>
  <c r="D79" i="2" s="1"/>
  <c r="E68" i="2"/>
  <c r="D68" i="2"/>
  <c r="T67" i="2"/>
  <c r="S67" i="2"/>
  <c r="R67" i="2"/>
  <c r="Q67" i="2"/>
  <c r="P67" i="2"/>
  <c r="Q65" i="2"/>
  <c r="P65" i="2"/>
  <c r="M65" i="2"/>
  <c r="M68" i="2" s="1"/>
  <c r="K65" i="2"/>
  <c r="K68" i="2" s="1"/>
  <c r="J65" i="2"/>
  <c r="J68" i="2" s="1"/>
  <c r="I65" i="2"/>
  <c r="I68" i="2" s="1"/>
  <c r="H65" i="2"/>
  <c r="H68" i="2" s="1"/>
  <c r="G65" i="2"/>
  <c r="G68" i="2" s="1"/>
  <c r="F65" i="2"/>
  <c r="F68" i="2" s="1"/>
  <c r="E65" i="2"/>
  <c r="D65" i="2"/>
  <c r="T62" i="2"/>
  <c r="S62" i="2"/>
  <c r="R62" i="2"/>
  <c r="R65" i="2" s="1"/>
  <c r="R68" i="2" s="1"/>
  <c r="O62" i="2"/>
  <c r="O65" i="2" s="1"/>
  <c r="O68" i="2" s="1"/>
  <c r="N62" i="2"/>
  <c r="N71" i="2" s="1"/>
  <c r="N73" i="2" s="1"/>
  <c r="N75" i="2" s="1"/>
  <c r="N79" i="2" s="1"/>
  <c r="M62" i="2"/>
  <c r="M71" i="2" s="1"/>
  <c r="L62" i="2"/>
  <c r="L65" i="2" s="1"/>
  <c r="L68" i="2" s="1"/>
  <c r="K62" i="2"/>
  <c r="K71" i="2" s="1"/>
  <c r="K73" i="2" s="1"/>
  <c r="K75" i="2" s="1"/>
  <c r="K79" i="2" s="1"/>
  <c r="O58" i="2"/>
  <c r="N58" i="2"/>
  <c r="M58" i="2"/>
  <c r="L58" i="2"/>
  <c r="K58" i="2"/>
  <c r="J58" i="2"/>
  <c r="I58" i="2"/>
  <c r="H58" i="2"/>
  <c r="G58" i="2"/>
  <c r="F58" i="2"/>
  <c r="E58" i="2"/>
  <c r="D58" i="2"/>
  <c r="T57" i="2"/>
  <c r="S57" i="2"/>
  <c r="R57" i="2"/>
  <c r="Q57" i="2"/>
  <c r="P57" i="2"/>
  <c r="P58" i="2" s="1"/>
  <c r="T54" i="2"/>
  <c r="T71" i="2" s="1"/>
  <c r="T73" i="2" s="1"/>
  <c r="S54" i="2"/>
  <c r="S58" i="2" s="1"/>
  <c r="R54" i="2"/>
  <c r="R58" i="2" s="1"/>
  <c r="Q54" i="2"/>
  <c r="T44" i="2"/>
  <c r="S44" i="2"/>
  <c r="R44" i="2"/>
  <c r="Q44" i="2"/>
  <c r="P44" i="2"/>
  <c r="D39" i="2"/>
  <c r="D41" i="2" s="1"/>
  <c r="D43" i="2" s="1"/>
  <c r="D47" i="2" s="1"/>
  <c r="T35" i="2"/>
  <c r="S35" i="2"/>
  <c r="R35" i="2"/>
  <c r="Q35" i="2"/>
  <c r="P35" i="2"/>
  <c r="O33" i="2"/>
  <c r="O36" i="2" s="1"/>
  <c r="N33" i="2"/>
  <c r="N36" i="2" s="1"/>
  <c r="D33" i="2"/>
  <c r="D36" i="2" s="1"/>
  <c r="O30" i="2"/>
  <c r="T30" i="2" s="1"/>
  <c r="N30" i="2"/>
  <c r="M30" i="2"/>
  <c r="M33" i="2" s="1"/>
  <c r="M36" i="2" s="1"/>
  <c r="L30" i="2"/>
  <c r="L33" i="2" s="1"/>
  <c r="L36" i="2" s="1"/>
  <c r="K30" i="2"/>
  <c r="K33" i="2" s="1"/>
  <c r="K36" i="2" s="1"/>
  <c r="J30" i="2"/>
  <c r="J33" i="2" s="1"/>
  <c r="J36" i="2" s="1"/>
  <c r="I30" i="2"/>
  <c r="I33" i="2" s="1"/>
  <c r="I36" i="2" s="1"/>
  <c r="H30" i="2"/>
  <c r="H33" i="2" s="1"/>
  <c r="H36" i="2" s="1"/>
  <c r="G30" i="2"/>
  <c r="G33" i="2" s="1"/>
  <c r="G36" i="2" s="1"/>
  <c r="F30" i="2"/>
  <c r="F33" i="2" s="1"/>
  <c r="F36" i="2" s="1"/>
  <c r="E30" i="2"/>
  <c r="E33" i="2" s="1"/>
  <c r="E36" i="2" s="1"/>
  <c r="D26" i="2"/>
  <c r="T25" i="2"/>
  <c r="S25" i="2"/>
  <c r="R25" i="2"/>
  <c r="Q25" i="2"/>
  <c r="P25" i="2"/>
  <c r="E22" i="2"/>
  <c r="E26" i="2" s="1"/>
  <c r="D58" i="3" l="1"/>
  <c r="E18" i="3"/>
  <c r="F63" i="3"/>
  <c r="T58" i="2"/>
  <c r="F16" i="3" s="1"/>
  <c r="F22" i="2"/>
  <c r="E23" i="3"/>
  <c r="D16" i="3"/>
  <c r="F18" i="3"/>
  <c r="P30" i="2"/>
  <c r="P33" i="2" s="1"/>
  <c r="P36" i="2" s="1"/>
  <c r="E39" i="2"/>
  <c r="E41" i="2" s="1"/>
  <c r="E43" i="2" s="1"/>
  <c r="E47" i="2" s="1"/>
  <c r="N65" i="2"/>
  <c r="N68" i="2" s="1"/>
  <c r="D17" i="3" s="1"/>
  <c r="T79" i="2"/>
  <c r="E36" i="3"/>
  <c r="E68" i="3"/>
  <c r="E85" i="3"/>
  <c r="R30" i="2"/>
  <c r="R33" i="2" s="1"/>
  <c r="R36" i="2" s="1"/>
  <c r="P68" i="2"/>
  <c r="D92" i="3"/>
  <c r="Q68" i="2"/>
  <c r="D22" i="3"/>
  <c r="E58" i="3"/>
  <c r="S65" i="2"/>
  <c r="S68" i="2" s="1"/>
  <c r="F68" i="3"/>
  <c r="D84" i="3"/>
  <c r="O137" i="2"/>
  <c r="Q58" i="2"/>
  <c r="E16" i="3" s="1"/>
  <c r="O71" i="2"/>
  <c r="O73" i="2" s="1"/>
  <c r="D19" i="3" s="1"/>
  <c r="D86" i="3"/>
  <c r="D87" i="3"/>
  <c r="O107" i="2"/>
  <c r="O111" i="2" s="1"/>
  <c r="D24" i="3" s="1"/>
  <c r="D25" i="3"/>
  <c r="G5" i="13"/>
  <c r="G8" i="13" s="1"/>
  <c r="G9" i="13" s="1"/>
  <c r="G25" i="12"/>
  <c r="S123" i="2"/>
  <c r="E34" i="3" s="1"/>
  <c r="E33" i="3" s="1"/>
  <c r="F26" i="2"/>
  <c r="G22" i="2"/>
  <c r="F39" i="2"/>
  <c r="F41" i="2" s="1"/>
  <c r="F43" i="2" s="1"/>
  <c r="F47" i="2" s="1"/>
  <c r="D23" i="3"/>
  <c r="D47" i="3"/>
  <c r="F9" i="13"/>
  <c r="F25" i="12"/>
  <c r="F5" i="13"/>
  <c r="F8" i="13" s="1"/>
  <c r="T139" i="2"/>
  <c r="F47" i="3" s="1"/>
  <c r="F12" i="4"/>
  <c r="T209" i="2"/>
  <c r="F86" i="3" s="1"/>
  <c r="T208" i="2"/>
  <c r="F85" i="3" s="1"/>
  <c r="E23" i="12"/>
  <c r="E6" i="13" s="1"/>
  <c r="T175" i="2"/>
  <c r="F58" i="3" s="1"/>
  <c r="T207" i="2"/>
  <c r="F84" i="3" s="1"/>
  <c r="F138" i="2"/>
  <c r="D16" i="4"/>
  <c r="D11" i="3"/>
  <c r="D13" i="4"/>
  <c r="J124" i="2"/>
  <c r="C23" i="12"/>
  <c r="C6" i="13" s="1"/>
  <c r="L124" i="2"/>
  <c r="K124" i="2"/>
  <c r="I124" i="2"/>
  <c r="H124" i="2"/>
  <c r="F124" i="2"/>
  <c r="G124" i="2"/>
  <c r="E124" i="2"/>
  <c r="E14" i="4"/>
  <c r="R137" i="2"/>
  <c r="Q137" i="2"/>
  <c r="P137" i="2"/>
  <c r="F19" i="4"/>
  <c r="T136" i="2"/>
  <c r="E14" i="6"/>
  <c r="E16" i="6" s="1"/>
  <c r="E18" i="5"/>
  <c r="E16" i="4"/>
  <c r="R138" i="2"/>
  <c r="Q138" i="2"/>
  <c r="P138" i="2"/>
  <c r="T33" i="2"/>
  <c r="T36" i="2" s="1"/>
  <c r="F11" i="3" s="1"/>
  <c r="D37" i="3"/>
  <c r="S179" i="2"/>
  <c r="E64" i="3" s="1"/>
  <c r="D65" i="3"/>
  <c r="R71" i="2"/>
  <c r="R73" i="2" s="1"/>
  <c r="R75" i="2" s="1"/>
  <c r="R79" i="2" s="1"/>
  <c r="D64" i="3"/>
  <c r="D63" i="3" s="1"/>
  <c r="D70" i="3"/>
  <c r="D97" i="3"/>
  <c r="D45" i="3"/>
  <c r="F16" i="6"/>
  <c r="S107" i="2"/>
  <c r="S111" i="2" s="1"/>
  <c r="E25" i="3"/>
  <c r="D57" i="3"/>
  <c r="D59" i="3"/>
  <c r="G23" i="12"/>
  <c r="G6" i="13" s="1"/>
  <c r="T220" i="2"/>
  <c r="F98" i="3" s="1"/>
  <c r="F96" i="3" s="1"/>
  <c r="T173" i="2"/>
  <c r="F56" i="3" s="1"/>
  <c r="T174" i="2"/>
  <c r="F57" i="3" s="1"/>
  <c r="T75" i="2"/>
  <c r="P79" i="2"/>
  <c r="T107" i="2"/>
  <c r="T111" i="2" s="1"/>
  <c r="F25" i="3"/>
  <c r="F21" i="3" s="1"/>
  <c r="D56" i="3"/>
  <c r="D55" i="3" s="1"/>
  <c r="F91" i="3"/>
  <c r="D69" i="3"/>
  <c r="E22" i="3"/>
  <c r="D93" i="3"/>
  <c r="D91" i="3" s="1"/>
  <c r="G29" i="13"/>
  <c r="J7" i="13"/>
  <c r="D9" i="9"/>
  <c r="D11" i="9" s="1"/>
  <c r="R214" i="2"/>
  <c r="Q214" i="2"/>
  <c r="E138" i="2"/>
  <c r="D138" i="2"/>
  <c r="S124" i="2"/>
  <c r="S180" i="2"/>
  <c r="E65" i="3" s="1"/>
  <c r="J220" i="2"/>
  <c r="E13" i="4"/>
  <c r="T138" i="2"/>
  <c r="F46" i="3" s="1"/>
  <c r="S132" i="2"/>
  <c r="E41" i="3" s="1"/>
  <c r="E40" i="3" s="1"/>
  <c r="K220" i="2"/>
  <c r="F13" i="4"/>
  <c r="F14" i="11"/>
  <c r="Q30" i="2"/>
  <c r="Q33" i="2" s="1"/>
  <c r="Q36" i="2" s="1"/>
  <c r="E123" i="2"/>
  <c r="D129" i="2"/>
  <c r="O220" i="2" s="1"/>
  <c r="T137" i="2"/>
  <c r="F45" i="3" s="1"/>
  <c r="M220" i="2"/>
  <c r="D23" i="12"/>
  <c r="D6" i="13" s="1"/>
  <c r="T65" i="2"/>
  <c r="T68" i="2" s="1"/>
  <c r="F17" i="3" s="1"/>
  <c r="S30" i="2"/>
  <c r="G123" i="2"/>
  <c r="F129" i="2"/>
  <c r="G138" i="2"/>
  <c r="P220" i="2"/>
  <c r="Q219" i="2"/>
  <c r="E97" i="3" s="1"/>
  <c r="Q71" i="2"/>
  <c r="Q73" i="2" s="1"/>
  <c r="Q75" i="2" s="1"/>
  <c r="Q79" i="2" s="1"/>
  <c r="H123" i="2"/>
  <c r="G129" i="2"/>
  <c r="H138" i="2"/>
  <c r="I123" i="2"/>
  <c r="I138" i="2"/>
  <c r="E93" i="3"/>
  <c r="J186" i="2"/>
  <c r="H129" i="2"/>
  <c r="N220" i="2"/>
  <c r="S71" i="2"/>
  <c r="S73" i="2" s="1"/>
  <c r="J123" i="2"/>
  <c r="J129" i="2"/>
  <c r="J138" i="2"/>
  <c r="S214" i="2"/>
  <c r="L123" i="2"/>
  <c r="K129" i="2"/>
  <c r="K138" i="2"/>
  <c r="K186" i="2"/>
  <c r="F18" i="5"/>
  <c r="P174" i="2"/>
  <c r="E57" i="3" s="1"/>
  <c r="Q173" i="2"/>
  <c r="P173" i="2"/>
  <c r="S139" i="2"/>
  <c r="E47" i="3" s="1"/>
  <c r="E12" i="4"/>
  <c r="R210" i="2"/>
  <c r="S209" i="2"/>
  <c r="E86" i="3" s="1"/>
  <c r="D18" i="4"/>
  <c r="G132" i="2"/>
  <c r="O132" i="2" s="1"/>
  <c r="Q213" i="2"/>
  <c r="R213" i="2"/>
  <c r="E92" i="3" s="1"/>
  <c r="D16" i="7"/>
  <c r="D30" i="13"/>
  <c r="D29" i="13" s="1"/>
  <c r="E18" i="6" s="1"/>
  <c r="D83" i="3" l="1"/>
  <c r="O75" i="2"/>
  <c r="O79" i="2" s="1"/>
  <c r="D18" i="3" s="1"/>
  <c r="D15" i="3" s="1"/>
  <c r="S138" i="2"/>
  <c r="E21" i="3"/>
  <c r="O124" i="2"/>
  <c r="E17" i="3"/>
  <c r="F43" i="3"/>
  <c r="D21" i="3"/>
  <c r="D98" i="3"/>
  <c r="D96" i="3"/>
  <c r="G10" i="13"/>
  <c r="J6" i="13" s="1"/>
  <c r="G12" i="13"/>
  <c r="J5" i="13"/>
  <c r="T176" i="2"/>
  <c r="F59" i="3" s="1"/>
  <c r="F55" i="3" s="1"/>
  <c r="D68" i="3"/>
  <c r="S75" i="2"/>
  <c r="S79" i="2" s="1"/>
  <c r="E19" i="3"/>
  <c r="E56" i="3"/>
  <c r="S176" i="2"/>
  <c r="E59" i="3" s="1"/>
  <c r="E91" i="3"/>
  <c r="S33" i="2"/>
  <c r="S36" i="2" s="1"/>
  <c r="E11" i="3" s="1"/>
  <c r="G26" i="2"/>
  <c r="H22" i="2"/>
  <c r="G39" i="2"/>
  <c r="G41" i="2" s="1"/>
  <c r="G43" i="2" s="1"/>
  <c r="G47" i="2" s="1"/>
  <c r="O123" i="2"/>
  <c r="S210" i="2"/>
  <c r="E87" i="3" s="1"/>
  <c r="E83" i="3" s="1"/>
  <c r="S137" i="2"/>
  <c r="E45" i="3" s="1"/>
  <c r="O138" i="2"/>
  <c r="D46" i="3" s="1"/>
  <c r="D43" i="3" s="1"/>
  <c r="D36" i="3"/>
  <c r="E46" i="3"/>
  <c r="F12" i="13"/>
  <c r="F10" i="13"/>
  <c r="D41" i="3"/>
  <c r="D40" i="3" s="1"/>
  <c r="T210" i="2"/>
  <c r="F87" i="3" s="1"/>
  <c r="F83" i="3" s="1"/>
  <c r="D12" i="7"/>
  <c r="D7" i="7" s="1"/>
  <c r="C7" i="9"/>
  <c r="C9" i="9" s="1"/>
  <c r="C11" i="9" s="1"/>
  <c r="S220" i="2"/>
  <c r="E98" i="3" s="1"/>
  <c r="E96" i="3" s="1"/>
  <c r="D38" i="3"/>
  <c r="E63" i="3"/>
  <c r="F19" i="3"/>
  <c r="F15" i="3" s="1"/>
  <c r="E43" i="3" l="1"/>
  <c r="E15" i="3"/>
  <c r="D34" i="3"/>
  <c r="D33" i="3" s="1"/>
  <c r="E55" i="3"/>
  <c r="I22" i="2"/>
  <c r="H26" i="2"/>
  <c r="H39" i="2"/>
  <c r="H41" i="2" s="1"/>
  <c r="H43" i="2" s="1"/>
  <c r="H47" i="2" s="1"/>
  <c r="J22" i="2" l="1"/>
  <c r="I39" i="2"/>
  <c r="I41" i="2" s="1"/>
  <c r="I43" i="2" s="1"/>
  <c r="I47" i="2" s="1"/>
  <c r="I26" i="2"/>
  <c r="K22" i="2" l="1"/>
  <c r="J39" i="2"/>
  <c r="J41" i="2" s="1"/>
  <c r="J43" i="2" s="1"/>
  <c r="J47" i="2" s="1"/>
  <c r="J26" i="2"/>
  <c r="L22" i="2" l="1"/>
  <c r="K39" i="2"/>
  <c r="K41" i="2" s="1"/>
  <c r="K43" i="2" s="1"/>
  <c r="K47" i="2" s="1"/>
  <c r="K26" i="2"/>
  <c r="M22" i="2" l="1"/>
  <c r="L39" i="2"/>
  <c r="L41" i="2" s="1"/>
  <c r="L43" i="2" s="1"/>
  <c r="L47" i="2" s="1"/>
  <c r="L26" i="2"/>
  <c r="M39" i="2" l="1"/>
  <c r="M41" i="2" s="1"/>
  <c r="M43" i="2" s="1"/>
  <c r="M47" i="2" s="1"/>
  <c r="M26" i="2"/>
  <c r="N22" i="2"/>
  <c r="N39" i="2" l="1"/>
  <c r="N41" i="2" s="1"/>
  <c r="N43" i="2" s="1"/>
  <c r="N47" i="2" s="1"/>
  <c r="N26" i="2"/>
  <c r="O22" i="2"/>
  <c r="O39" i="2" l="1"/>
  <c r="C20" i="11"/>
  <c r="O26" i="2"/>
  <c r="D10" i="3" s="1"/>
  <c r="R22" i="2"/>
  <c r="T22" i="2"/>
  <c r="S22" i="2"/>
  <c r="P22" i="2"/>
  <c r="Q22" i="2"/>
  <c r="T26" i="2" l="1"/>
  <c r="F10" i="3" s="1"/>
  <c r="T39" i="2"/>
  <c r="T41" i="2" s="1"/>
  <c r="F12" i="3"/>
  <c r="E9" i="11" s="1"/>
  <c r="R26" i="2"/>
  <c r="R39" i="2"/>
  <c r="R41" i="2" s="1"/>
  <c r="R43" i="2" s="1"/>
  <c r="R47" i="2" s="1"/>
  <c r="O41" i="2"/>
  <c r="C18" i="11"/>
  <c r="Q26" i="2"/>
  <c r="Q39" i="2"/>
  <c r="Q41" i="2" s="1"/>
  <c r="Q43" i="2" s="1"/>
  <c r="Q47" i="2" s="1"/>
  <c r="D20" i="11"/>
  <c r="S26" i="2"/>
  <c r="S39" i="2"/>
  <c r="P39" i="2"/>
  <c r="P41" i="2" s="1"/>
  <c r="P43" i="2" s="1"/>
  <c r="P47" i="2" s="1"/>
  <c r="P26" i="2"/>
  <c r="E12" i="3"/>
  <c r="D9" i="11" s="1"/>
  <c r="O43" i="2" l="1"/>
  <c r="C19" i="11"/>
  <c r="D13" i="3"/>
  <c r="D18" i="11"/>
  <c r="S41" i="2"/>
  <c r="E13" i="11"/>
  <c r="E7" i="12" s="1"/>
  <c r="F7" i="4"/>
  <c r="D13" i="11"/>
  <c r="D7" i="12" s="1"/>
  <c r="E7" i="4"/>
  <c r="F13" i="3"/>
  <c r="F9" i="3" s="1"/>
  <c r="E11" i="11" s="1"/>
  <c r="T43" i="2"/>
  <c r="T47" i="2" s="1"/>
  <c r="E10" i="3"/>
  <c r="E4" i="13" l="1"/>
  <c r="E7" i="11"/>
  <c r="F6" i="4" s="1"/>
  <c r="D25" i="12"/>
  <c r="D5" i="13"/>
  <c r="D14" i="11"/>
  <c r="E25" i="12"/>
  <c r="E5" i="13"/>
  <c r="T119" i="2"/>
  <c r="F31" i="3" s="1"/>
  <c r="T117" i="2"/>
  <c r="F30" i="3" s="1"/>
  <c r="F29" i="3" s="1"/>
  <c r="T195" i="2"/>
  <c r="F80" i="3" s="1"/>
  <c r="T161" i="2"/>
  <c r="F52" i="3" s="1"/>
  <c r="T197" i="2"/>
  <c r="F81" i="3" s="1"/>
  <c r="T163" i="2"/>
  <c r="F53" i="3" s="1"/>
  <c r="E9" i="3"/>
  <c r="D11" i="11" s="1"/>
  <c r="E14" i="11"/>
  <c r="D19" i="11"/>
  <c r="E13" i="3"/>
  <c r="S43" i="2"/>
  <c r="O47" i="2"/>
  <c r="C21" i="11"/>
  <c r="C22" i="11" s="1"/>
  <c r="D4" i="13" l="1"/>
  <c r="D7" i="11"/>
  <c r="E6" i="4" s="1"/>
  <c r="F79" i="3"/>
  <c r="E8" i="13"/>
  <c r="F11" i="4"/>
  <c r="F21" i="4" s="1"/>
  <c r="F51" i="3"/>
  <c r="D8" i="13"/>
  <c r="E11" i="4"/>
  <c r="E21" i="4" s="1"/>
  <c r="D12" i="3"/>
  <c r="S47" i="2"/>
  <c r="D21" i="11"/>
  <c r="D22" i="11" s="1"/>
  <c r="E9" i="13"/>
  <c r="F9" i="4"/>
  <c r="F22" i="4" l="1"/>
  <c r="F24" i="4" s="1"/>
  <c r="C9" i="11"/>
  <c r="D9" i="3"/>
  <c r="C11" i="11" s="1"/>
  <c r="E12" i="13"/>
  <c r="E10" i="13"/>
  <c r="D25" i="8"/>
  <c r="D27" i="8" s="1"/>
  <c r="R161" i="2"/>
  <c r="Q197" i="2"/>
  <c r="Q119" i="2"/>
  <c r="P197" i="2"/>
  <c r="S119" i="2"/>
  <c r="P119" i="2"/>
  <c r="E31" i="3" s="1"/>
  <c r="S197" i="2"/>
  <c r="S195" i="2"/>
  <c r="R117" i="2"/>
  <c r="P161" i="2"/>
  <c r="R163" i="2"/>
  <c r="S117" i="2"/>
  <c r="R195" i="2"/>
  <c r="Q117" i="2"/>
  <c r="Q163" i="2"/>
  <c r="P117" i="2"/>
  <c r="E30" i="3" s="1"/>
  <c r="Q161" i="2"/>
  <c r="Q195" i="2"/>
  <c r="P195" i="2"/>
  <c r="E80" i="3" s="1"/>
  <c r="P163" i="2"/>
  <c r="R119" i="2"/>
  <c r="R197" i="2"/>
  <c r="S163" i="2"/>
  <c r="S161" i="2"/>
  <c r="D9" i="13"/>
  <c r="E9" i="4"/>
  <c r="E81" i="3" l="1"/>
  <c r="E79" i="3" s="1"/>
  <c r="C7" i="11"/>
  <c r="D6" i="4" s="1"/>
  <c r="C4" i="13"/>
  <c r="E53" i="3"/>
  <c r="G9" i="8"/>
  <c r="F9" i="8"/>
  <c r="E52" i="3"/>
  <c r="E51" i="3" s="1"/>
  <c r="C13" i="11"/>
  <c r="C7" i="12" s="1"/>
  <c r="D7" i="4"/>
  <c r="C14" i="11"/>
  <c r="D29" i="8"/>
  <c r="D33" i="8"/>
  <c r="H15" i="8"/>
  <c r="E6" i="9"/>
  <c r="E9" i="9" s="1"/>
  <c r="E11" i="9" s="1"/>
  <c r="E22" i="4"/>
  <c r="E24" i="4" s="1"/>
  <c r="D12" i="13"/>
  <c r="D10" i="13"/>
  <c r="E29" i="3"/>
  <c r="C5" i="13" l="1"/>
  <c r="C25" i="12"/>
  <c r="M163" i="2"/>
  <c r="G195" i="2"/>
  <c r="N197" i="2"/>
  <c r="M197" i="2"/>
  <c r="E117" i="2"/>
  <c r="G117" i="2"/>
  <c r="K195" i="2"/>
  <c r="L195" i="2"/>
  <c r="J119" i="2"/>
  <c r="E195" i="2"/>
  <c r="H197" i="2"/>
  <c r="F119" i="2"/>
  <c r="O163" i="2"/>
  <c r="F163" i="2"/>
  <c r="K119" i="2"/>
  <c r="L163" i="2"/>
  <c r="E163" i="2"/>
  <c r="E161" i="2"/>
  <c r="K163" i="2"/>
  <c r="L117" i="2"/>
  <c r="L161" i="2"/>
  <c r="D197" i="2"/>
  <c r="G161" i="2"/>
  <c r="N161" i="2"/>
  <c r="F197" i="2"/>
  <c r="K117" i="2"/>
  <c r="M161" i="2"/>
  <c r="I117" i="2"/>
  <c r="L197" i="2"/>
  <c r="H117" i="2"/>
  <c r="G119" i="2"/>
  <c r="H163" i="2"/>
  <c r="O161" i="2"/>
  <c r="N117" i="2"/>
  <c r="M117" i="2"/>
  <c r="D161" i="2"/>
  <c r="H161" i="2"/>
  <c r="F117" i="2"/>
  <c r="I197" i="2"/>
  <c r="D195" i="2"/>
  <c r="F195" i="2"/>
  <c r="G197" i="2"/>
  <c r="L119" i="2"/>
  <c r="J161" i="2"/>
  <c r="J195" i="2"/>
  <c r="O195" i="2"/>
  <c r="E119" i="2"/>
  <c r="J197" i="2"/>
  <c r="I119" i="2"/>
  <c r="J163" i="2"/>
  <c r="E197" i="2"/>
  <c r="I161" i="2"/>
  <c r="H195" i="2"/>
  <c r="G163" i="2"/>
  <c r="M195" i="2"/>
  <c r="K161" i="2"/>
  <c r="I195" i="2"/>
  <c r="D119" i="2"/>
  <c r="F161" i="2"/>
  <c r="O197" i="2"/>
  <c r="K197" i="2"/>
  <c r="D117" i="2"/>
  <c r="O117" i="2"/>
  <c r="J117" i="2"/>
  <c r="M119" i="2"/>
  <c r="N195" i="2"/>
  <c r="N163" i="2"/>
  <c r="O119" i="2"/>
  <c r="I163" i="2"/>
  <c r="H119" i="2"/>
  <c r="D163" i="2"/>
  <c r="N119" i="2"/>
  <c r="C23" i="9"/>
  <c r="C21" i="9"/>
  <c r="D34" i="8"/>
  <c r="E9" i="8"/>
  <c r="D9" i="4"/>
  <c r="D81" i="3" l="1"/>
  <c r="D52" i="3"/>
  <c r="D80" i="3"/>
  <c r="D79" i="3" s="1"/>
  <c r="D31" i="3"/>
  <c r="D53" i="3"/>
  <c r="D11" i="4"/>
  <c r="D21" i="4" s="1"/>
  <c r="D22" i="4" s="1"/>
  <c r="D24" i="4" s="1"/>
  <c r="C8" i="13"/>
  <c r="C9" i="13" s="1"/>
  <c r="D30" i="3"/>
  <c r="C12" i="13" l="1"/>
  <c r="C10" i="13"/>
  <c r="D51" i="3"/>
  <c r="D29" i="3"/>
  <c r="C14" i="13" l="1"/>
  <c r="C15" i="13" s="1"/>
  <c r="D13" i="13" s="1"/>
  <c r="D9" i="8"/>
  <c r="C16" i="13"/>
  <c r="C17" i="13" s="1"/>
  <c r="D25" i="4" l="1"/>
  <c r="D26" i="4" s="1"/>
  <c r="D10" i="8"/>
  <c r="D11" i="8"/>
  <c r="D15" i="8" s="1"/>
  <c r="C19" i="13"/>
  <c r="D14" i="13"/>
  <c r="D16" i="13" s="1"/>
  <c r="D17" i="13" s="1"/>
  <c r="D15" i="13" l="1"/>
  <c r="E13" i="13" s="1"/>
  <c r="E25" i="4"/>
  <c r="E26" i="4" s="1"/>
  <c r="E10" i="8"/>
  <c r="E11" i="8" s="1"/>
  <c r="E15" i="8" s="1"/>
  <c r="D19" i="13"/>
  <c r="C20" i="13"/>
  <c r="C22" i="13" s="1"/>
  <c r="D7" i="6"/>
  <c r="D10" i="6" s="1"/>
  <c r="D17" i="6" s="1"/>
  <c r="D21" i="7"/>
  <c r="D20" i="7" s="1"/>
  <c r="D18" i="7" s="1"/>
  <c r="D17" i="7" s="1"/>
  <c r="D28" i="7" s="1"/>
  <c r="D20" i="13" l="1"/>
  <c r="D22" i="13" s="1"/>
  <c r="E7" i="6"/>
  <c r="E10" i="6" s="1"/>
  <c r="E17" i="6" s="1"/>
  <c r="E21" i="7"/>
  <c r="E20" i="7" s="1"/>
  <c r="E18" i="7" s="1"/>
  <c r="E17" i="7" s="1"/>
  <c r="E28" i="7" s="1"/>
  <c r="E14" i="13"/>
  <c r="E16" i="13" s="1"/>
  <c r="E17" i="13" s="1"/>
  <c r="E15" i="13" l="1"/>
  <c r="F13" i="13" s="1"/>
  <c r="F25" i="4"/>
  <c r="F26" i="4" s="1"/>
  <c r="G10" i="8"/>
  <c r="G11" i="8" s="1"/>
  <c r="G15" i="8" s="1"/>
  <c r="F10" i="8"/>
  <c r="F11" i="8" s="1"/>
  <c r="F15" i="8" s="1"/>
  <c r="E19" i="13"/>
  <c r="F21" i="7" l="1"/>
  <c r="F20" i="7" s="1"/>
  <c r="F18" i="7" s="1"/>
  <c r="F17" i="7" s="1"/>
  <c r="F28" i="7" s="1"/>
  <c r="F7" i="6"/>
  <c r="F10" i="6" s="1"/>
  <c r="F17" i="6" s="1"/>
  <c r="E20" i="13"/>
  <c r="E22" i="13" s="1"/>
  <c r="F14" i="13"/>
  <c r="F16" i="13" s="1"/>
  <c r="F17" i="13" s="1"/>
  <c r="F19" i="13" s="1"/>
  <c r="F20" i="13" s="1"/>
  <c r="F22" i="13" s="1"/>
  <c r="F15" i="13" l="1"/>
  <c r="G13" i="13" s="1"/>
  <c r="G14" i="13"/>
  <c r="G16" i="13" s="1"/>
  <c r="G17" i="13" s="1"/>
  <c r="G19" i="13" s="1"/>
  <c r="G20" i="13" s="1"/>
  <c r="G22" i="13" s="1"/>
  <c r="D26" i="8"/>
  <c r="G15" i="13" l="1"/>
</calcChain>
</file>

<file path=xl/sharedStrings.xml><?xml version="1.0" encoding="utf-8"?>
<sst xmlns="http://schemas.openxmlformats.org/spreadsheetml/2006/main" count="1598" uniqueCount="553">
  <si>
    <t>https://influencermarketinghub.com/influencer-marketing-benchmark-report/</t>
  </si>
  <si>
    <t>https://bondbl.com/bond-loyalty-report/</t>
  </si>
  <si>
    <t>https://www.bls.gov/oes/tables.htm</t>
  </si>
  <si>
    <t>https://www.michaelpage.co.in/salary-guide</t>
  </si>
  <si>
    <t>https://www.hays.hu/salary-guide</t>
  </si>
  <si>
    <t>https://www.cushmanwakefield.com/en/united-states/insights/us-marketbeats/greater-los-angeles-marketbeats</t>
  </si>
  <si>
    <t>https://www.jll.com/en-in/insights/market-dynamics/india-office</t>
  </si>
  <si>
    <t>https://www.pwc.com/ee/en/services/transaction-services/pwc-deals-insights--how-to-value-a-start-up-business.html</t>
  </si>
  <si>
    <t>https://www.dhl.com/global-en/microsites/ec/ecommerce-insights/insights/reports/2025-b2b-ecommerce-trends.html</t>
  </si>
  <si>
    <t>https://ecdb.com/resources/sample-data/market/ww/all/transactions</t>
  </si>
  <si>
    <t>https://www.temasek.com.sg/en/news-and-resources/news-room/news/2025/e-conomy-sea-2025-report-aseans-digital-economy-poised-to-surpass-300-billion</t>
  </si>
  <si>
    <t>https://www.damodaran.com/</t>
  </si>
  <si>
    <t>https://kpmg.com/de/en/insights/business-performance-and-resilience/customer-transformation/retail-sales-monitor-3-2025.html</t>
  </si>
  <si>
    <t>https://softwareequity.com/research/quarterly-saas-report</t>
  </si>
  <si>
    <t>https://www.saas-capital.com/blog-posts/private-saas-company-valuations-multiples/</t>
  </si>
  <si>
    <t>%</t>
  </si>
  <si>
    <t>Sep</t>
  </si>
  <si>
    <t>Oct</t>
  </si>
  <si>
    <t>Nov</t>
  </si>
  <si>
    <t>Dec</t>
  </si>
  <si>
    <t>Jan</t>
  </si>
  <si>
    <t>Feb</t>
  </si>
  <si>
    <t>Mar</t>
  </si>
  <si>
    <t>Apr</t>
  </si>
  <si>
    <t>May</t>
  </si>
  <si>
    <t>Jun</t>
  </si>
  <si>
    <t>Jul</t>
  </si>
  <si>
    <t>Aug</t>
  </si>
  <si>
    <t>Q1</t>
  </si>
  <si>
    <t>Q2</t>
  </si>
  <si>
    <t>Q3</t>
  </si>
  <si>
    <t>Q4</t>
  </si>
  <si>
    <t>Year 3</t>
  </si>
  <si>
    <t>USD</t>
  </si>
  <si>
    <t>x</t>
  </si>
  <si>
    <t>HUF/USD</t>
  </si>
  <si>
    <t>BENEFIT 2025 ADO-3.pdf</t>
  </si>
  <si>
    <t>IRS</t>
  </si>
  <si>
    <t>https://www.irs.gov/instructions/i172</t>
  </si>
  <si>
    <t>IRS Form 1120</t>
  </si>
  <si>
    <t>https://www.irs.gov/instructions/i1120</t>
  </si>
  <si>
    <t>Delaware Division of Corporations</t>
  </si>
  <si>
    <t>https://corp.delaware.gov/frtaxcalc/</t>
  </si>
  <si>
    <t>BENEFIT FTB JELENTES_2023.pdf</t>
  </si>
  <si>
    <t>2025 Form 1120</t>
  </si>
  <si>
    <t>Financial Plan</t>
  </si>
  <si>
    <t>Information and Sources</t>
  </si>
  <si>
    <t>Assumptions</t>
  </si>
  <si>
    <t>The project commences on 1 September 2026, when the funding required for implementation becomes available. The planned USD 1,000,000 share sale may be completed through a single investment transaction or multiple transactions.</t>
  </si>
  <si>
    <t>In practice, a single bercode holder may have more than one bercode issued by different issuers, increasing the likelihood of more frequent use. This assumption is reflected in the “Average number of bercodes per bercode holder” rows for Europe, the United States and Asia on the Inputs sheet.</t>
  </si>
  <si>
    <t>Influencer Marketing – 2026 Benchmark</t>
  </si>
  <si>
    <t>Loyalty Programs – 2026 Research</t>
  </si>
  <si>
    <t>U.S. Wages – BLS OEWS 2025</t>
  </si>
  <si>
    <t>Indian Salaries – Michael Page Salary Guide 2026</t>
  </si>
  <si>
    <t>Hungarian Salaries – Hays Salary Guide 2026</t>
  </si>
  <si>
    <t>U.S. Office Market – Greater Los Angeles Q1 2026</t>
  </si>
  <si>
    <t>Indian Office Market – Q1 2026</t>
  </si>
  <si>
    <t>Startup Valuation Methodology</t>
  </si>
  <si>
    <t>Influencer and Creator Market Size</t>
  </si>
  <si>
    <t>B2B E-commerce Trends – 2025</t>
  </si>
  <si>
    <t>Average Order Value – International Benchmark</t>
  </si>
  <si>
    <t>Southeast Asia Digital Economy – 2025</t>
  </si>
  <si>
    <t>Current Market Risk Premium</t>
  </si>
  <si>
    <t>Customer Loyalty and Loyalty Program Usage – 2025</t>
  </si>
  <si>
    <t>SaaS / Software Market Valuation Multiples – Q1 2026</t>
  </si>
  <si>
    <t>Private SaaS Company Valuation Multiples – 2025</t>
  </si>
  <si>
    <t>Worksheets and Their Purpose</t>
  </si>
  <si>
    <t>Worksheet</t>
  </si>
  <si>
    <t>Description</t>
  </si>
  <si>
    <t>Info</t>
  </si>
  <si>
    <t>User guide, key assumptions, source references, worksheet index and cell-format legend for the model.</t>
  </si>
  <si>
    <t>Inputs</t>
  </si>
  <si>
    <t>Detailed supporting model for regional platform-fee and transaction-commission revenue, together with OPEX, presented monthly for Year 1, quarterly for Year 2 and annually for Year 3.</t>
  </si>
  <si>
    <t>Calculations</t>
  </si>
  <si>
    <t>Annual aggregation of regional revenue and OPEX items from the Inputs sheet, together with the supporting calculations for the three-year financial statements.</t>
  </si>
  <si>
    <t>Income Statement</t>
  </si>
  <si>
    <t>Presentation of revenue, operating expenses, EBITDA, EBIT and net income for the first three project years.</t>
  </si>
  <si>
    <t>Financing</t>
  </si>
  <si>
    <t>The planned share sale, transfer of existing shares, ownership interest acquired, funding provided to the company and the development of liabilities.</t>
  </si>
  <si>
    <t>Cash Flow</t>
  </si>
  <si>
    <t>Reconciliation of operating, investing and financing cash flows, net change in cash and closing cash balance.</t>
  </si>
  <si>
    <t>Balance Sheet</t>
  </si>
  <si>
    <t>Simplified pro forma balance sheet for the first three project years, presenting assets, equity and liabilities.</t>
  </si>
  <si>
    <t>Valuation</t>
  </si>
  <si>
    <t>Derivation of FCFF, market-multiple enterprise value, DCF control value, equity value and the value of the investor’s ownership interest.</t>
  </si>
  <si>
    <t>Investor Return</t>
  </si>
  <si>
    <t>Presentation of the investor’s MOIC and ROI as of the end of Project Year 3.</t>
  </si>
  <si>
    <t>5Y – Assumptions</t>
  </si>
  <si>
    <t>Core inputs, partner and network drivers, approved cost trajectory and key sources for the five-year management base case.</t>
  </si>
  <si>
    <t>5Y – Revenue Model</t>
  </si>
  <si>
    <t>Derivation of the five-year revenue trajectory, revenue layers, commissions passed through to issuers and supporting network metrics.</t>
  </si>
  <si>
    <t>5Y – Cost Model</t>
  </si>
  <si>
    <t>Approved five-year cash-cost trajectory for personnel, technology, compliance, marketing, travel and development.</t>
  </si>
  <si>
    <t>5Y – Results</t>
  </si>
  <si>
    <t>Summary of the five-year revenue, EBITDA, taxation, cash flow, liabilities and cash-balance trajectory, together with management KPIs.</t>
  </si>
  <si>
    <t>Cell Format</t>
  </si>
  <si>
    <t>Editable Cells</t>
  </si>
  <si>
    <t>Calculation Cells</t>
  </si>
  <si>
    <t>Supporting Cells</t>
  </si>
  <si>
    <t>Unit</t>
  </si>
  <si>
    <t>Notes</t>
  </si>
  <si>
    <t>General</t>
  </si>
  <si>
    <t>Start date</t>
  </si>
  <si>
    <t>The model calculates Project Year 1 monthly, Project Year 2 quarterly and Project Year 3 annually.</t>
  </si>
  <si>
    <t>Delaware state tax rate</t>
  </si>
  <si>
    <t>U.S. federal corporate tax rate</t>
  </si>
  <si>
    <t>Employer payroll taxes in the United States</t>
  </si>
  <si>
    <t>Applied to gross salaries.</t>
  </si>
  <si>
    <t>Base bercode creation fee</t>
  </si>
  <si>
    <t>USD / chargeable new or renewed bercode</t>
  </si>
  <si>
    <t>Benefit Barcode’s centrally adjustable base fee for each chargeable new or renewed bercode. The issuer may set a uniform end-user price for each webshop; any amount above the base fee belongs to the issuer. A bercode holder may select one free trial of up to 30 days in one webshop of a given issuer.</t>
  </si>
  <si>
    <t>Share of bercodes subject to the BB base fee</t>
  </si>
  <si>
    <t>Stress scenario: 35% of all new and renewed bercodes generate the USD 0.05 BB base fee. The remaining 65% covers the one-time free trial and other cases not subject to the base fee.</t>
  </si>
  <si>
    <t>Revenue – Europe</t>
  </si>
  <si>
    <t>1. Bercode issuers</t>
  </si>
  <si>
    <t>1.1. Trade unions, chambers and NGOs</t>
  </si>
  <si>
    <t>Monthly growth rate</t>
  </si>
  <si>
    <t>Conservative Hungarian ramp-up logic carried forward from the 2024 financial plan: no issuer growth in Project Year 1 and 0.5% monthly growth from Project Year 2.</t>
  </si>
  <si>
    <t>Number of partner trade unions and chambers</t>
  </si>
  <si>
    <t>bercode issuers / month</t>
  </si>
  <si>
    <t>The base figure represents existing partners in Hungary.</t>
  </si>
  <si>
    <t>Share of organizations selecting a paid plan</t>
  </si>
  <si>
    <t>Based on Hungarian market experience and the 2024 plan, paid plans first appear in Q4 of Project Year 2 at a rate of 0.5%.</t>
  </si>
  <si>
    <t>Average membership / trade union, chamber and civil-society organization</t>
  </si>
  <si>
    <t>people / trade union, chamber and civil-society organization</t>
  </si>
  <si>
    <t>Based on the company’s own experience in the Hungarian market.</t>
  </si>
  <si>
    <t>Average BB Inc. fee per paid bercode</t>
  </si>
  <si>
    <t>USD / paid bercode / month</t>
  </si>
  <si>
    <t>Unit fee, not a standalone revenue line. Total BB revenue is generated only as the product of the number of issuers/creators, the size of the relevant community, the paid share and this fee.</t>
  </si>
  <si>
    <t>Total BB revenue from bercode usage fees</t>
  </si>
  <si>
    <t>1.2. Creators, influencers and public figures</t>
  </si>
  <si>
    <t>Number of creators, influencers and public figures</t>
  </si>
  <si>
    <t>creators, influencers and public figures</t>
  </si>
  <si>
    <t>Average number of fans / creator, influencer or public figure</t>
  </si>
  <si>
    <t>fans / creator, influencer or public figure</t>
  </si>
  <si>
    <t>Share of fans becoming bercode holders</t>
  </si>
  <si>
    <t>Total number of bercode holders (free and paid)</t>
  </si>
  <si>
    <t>bercode holders</t>
  </si>
  <si>
    <t>Share of paid bercode holders within total bercode holders</t>
  </si>
  <si>
    <t>Recent Bond and KPMG research supports the business relevance of loyalty programs. The earlier 37% figure was not reconfirmed by a 2026 source; the rate used in the model is a management assumption.</t>
  </si>
  <si>
    <t>2. Bercode acceptance partners – transaction-based commission</t>
  </si>
  <si>
    <t>Number of bercode holders</t>
  </si>
  <si>
    <t>units</t>
  </si>
  <si>
    <t>Share of the EU population reached in Project Year 3.</t>
  </si>
  <si>
    <t>Average number of bercodes / bercode holder</t>
  </si>
  <si>
    <t>average number of bercodes</t>
  </si>
  <si>
    <t>Number of bercodes in circulation</t>
  </si>
  <si>
    <t>Share of bercodes actively used by bercode holders</t>
  </si>
  <si>
    <t>Number of bercodes used</t>
  </si>
  <si>
    <t>units/month</t>
  </si>
  <si>
    <t>Average basket/order value of purchases made by bercode holders</t>
  </si>
  <si>
    <t>Share of bercode acceptance partners paying transaction-based commission</t>
  </si>
  <si>
    <t>Based on the company’s own experience, the Hungarian system also allows partners to participate without paying an acquisition commission.</t>
  </si>
  <si>
    <t>Transaction-based commission (minimum 3%)</t>
  </si>
  <si>
    <t>Platform condition.</t>
  </si>
  <si>
    <t>Total transaction-based commission</t>
  </si>
  <si>
    <t>Revenue – United States</t>
  </si>
  <si>
    <t>U.S. issuer ramp-up carried forward from the 2024 plan; the first partner appears in Q1 of Project Year 2.</t>
  </si>
  <si>
    <t>Based on the company’s own experience.</t>
  </si>
  <si>
    <t>Management forecast.</t>
  </si>
  <si>
    <t>The first 12 market months of the U.S. creator trajectory are 1, 3, 7, 15, 31, 63, 91, 116, 138, 156, 171 and 183 creators. The effective monthly rates in the first two quarters of Project Year 2 reproduce this monthly path; thereafter the model assumes 40% annual growth.</t>
  </si>
  <si>
    <t>The March–August figures for Project Year 1 and the monthly figures for the first half of Project Year 2 were defined as the management base case. They are not market guarantees.</t>
  </si>
  <si>
    <t>The 2026 influencer-market benchmark provides context for the size of the creator market but does not substantiate this specific average follower count. The model value is a management planning assumption.</t>
  </si>
  <si>
    <t>Recent Bond and KPMG research supports the widespread use of loyalty programs. The earlier 47% figure was not reconfirmed by a 2026 source; the rate used in the model is a management assumption.</t>
  </si>
  <si>
    <t>Share of the Canadian and U.S. population reached in Project Year 3.</t>
  </si>
  <si>
    <t>According to Bond’s 2025 research, consumers participate in an average of 17.4 loyalty programs. This supports the possibility of multiple memberships; the number of bercodes used in the model is a management assumption.</t>
  </si>
  <si>
    <t>Recent loyalty research supports the distinction between membership and actual activity. The earlier 18% figure was not reconfirmed by a 2026 source; the usage rate is a management assumption.</t>
  </si>
  <si>
    <t>The international AOV benchmark is provided for market comparison only. The basket value used in the Benefit Barcode model is a management assumption and should, where possible, be supported by internal transaction data.</t>
  </si>
  <si>
    <t>Revenue – Asia</t>
  </si>
  <si>
    <t>Asian issuer ramp-up carried forward from the 2024 plan; material activity appears only in Project Year 3.</t>
  </si>
  <si>
    <t>Asian creator ramp-up carried forward from the 2024 plan; material activity appears only in Project Year 3.</t>
  </si>
  <si>
    <t>The 2026 influencer-market benchmark supports growth in the creator market but does not substantiate this specific figure. The number of influencers used in the model is a management planning assumption.</t>
  </si>
  <si>
    <t>Share of India’s population reached in Project Year 3.</t>
  </si>
  <si>
    <t>e-Conomy SEA 2025 supports growth in Southeast Asia’s digital economy but does not substantiate the specific basket value. The model value is a management assumption and should be validated against country-level or internal transaction data.</t>
  </si>
  <si>
    <t>OPEX – Europe</t>
  </si>
  <si>
    <t>Transaction-based commissions passed through</t>
  </si>
  <si>
    <t>Pass-through rate / bercode usage</t>
  </si>
  <si>
    <t>Platform condition: one-third of the gross amount generated by the relevant commission source; together, the two rows equal two-thirds of total gross commission.</t>
  </si>
  <si>
    <t>Commission passed through to issuers / bercode usage</t>
  </si>
  <si>
    <t>The annual amount is sourced from the 5Y – Cost Model sheet. The regional and period allocation follows the timing of detailed transaction-based commissions; together, the two existing rows equal the full two-thirds issuer pass-through.</t>
  </si>
  <si>
    <t>Pass-through rate / merchant traffic</t>
  </si>
  <si>
    <t>Commission passed through to issuers / merchant traffic</t>
  </si>
  <si>
    <t>Work arrangements and local business presence</t>
  </si>
  <si>
    <t>Coworking, meeting rooms and local business presence</t>
  </si>
  <si>
    <t>Remote-first operating model. Flexible meeting-room and coworking allowance for Year 1; later regional budgets are presented in the U.S. and Asia sections.</t>
  </si>
  <si>
    <t>Remote-work allowance</t>
  </si>
  <si>
    <t>Regional share of the Europe/global core team. The total annual amount reconciles across the three regions to the 5Y model.</t>
  </si>
  <si>
    <t>Regional office – only upon sufficient scale and separate approval</t>
  </si>
  <si>
    <t>USD 0 in the remote-first base case. It may later replace the coworking allowance once a sufficient local team and business scale has been reached, subject to a specific location and management approval.</t>
  </si>
  <si>
    <t>Marketing and market development</t>
  </si>
  <si>
    <t>Partner acquisition and market-entry campaigns</t>
  </si>
  <si>
    <t>European partner-acquisition and market-entry budget. Not influencer sponsorship; this is the regional allocation of the annual marketing budget.</t>
  </si>
  <si>
    <t>Online advertising and digital campaigns</t>
  </si>
  <si>
    <t>European digital-campaign budget. The regional and period profile preserves the previous ramp-up proportions.</t>
  </si>
  <si>
    <t>Travel and in-person business presence</t>
  </si>
  <si>
    <t>Travel</t>
  </si>
  <si>
    <t>Travel related to European/global partner development. The regional amounts for Years 2–3 reconcile in aggregate to the annual travel budget in the 5Y model.</t>
  </si>
  <si>
    <t>Central operations and personnel costs</t>
  </si>
  <si>
    <t>Integrated development program – operating component</t>
  </si>
  <si>
    <t>The full approved USD 80,000 Year 1 cash budget for the T04–T10 program; there is no separate hardware CAPEX or duplicate personnel charge.</t>
  </si>
  <si>
    <t>Central technology and platform operations</t>
  </si>
  <si>
    <t>Software licenses, B2B CRM, core platform infrastructure and VirtualMerch/AR operations. This is a central cost and is therefore not duplicated by region.</t>
  </si>
  <si>
    <t>Central compliance, insurance and corporate administration</t>
  </si>
  <si>
    <t>Accounting, tax, legal, audit, compliance, annual Delaware obligations, registered agent, corporate insurance and any business-address costs. No per-person or non-public breakdown is included.</t>
  </si>
  <si>
    <t>Personnel costs – Europe/global core team</t>
  </si>
  <si>
    <t>Europe/global core portion of approved total employer cost. It does not include individual compensation; the U.S. and Asian regional components are shown separately.</t>
  </si>
  <si>
    <t>Personnel capacity planning – for information</t>
  </si>
  <si>
    <t>Junior IT developer</t>
  </si>
  <si>
    <t>Full-time equivalent</t>
  </si>
  <si>
    <t>Capacity-planning background; not incremental OPEX. Actual personnel cash cost is included in row 138.</t>
  </si>
  <si>
    <t>Senior IT developer</t>
  </si>
  <si>
    <t>Support</t>
  </si>
  <si>
    <t>Management</t>
  </si>
  <si>
    <t>Secretarial support</t>
  </si>
  <si>
    <t>Online marketing manager</t>
  </si>
  <si>
    <t>Salary benchmarks – for information, not incremental OPEX</t>
  </si>
  <si>
    <t>User and partner support</t>
  </si>
  <si>
    <t>USD/year</t>
  </si>
  <si>
    <t>Source Audit 2026: Hays Hungary Salary Guide 2026. The current model value has not yet been recalculated by role.</t>
  </si>
  <si>
    <t>Indicative regional benchmark; not incremental OPEX and not approved individual compensation.</t>
  </si>
  <si>
    <t>OPEX – United States</t>
  </si>
  <si>
    <t>Personnel expenses</t>
  </si>
  <si>
    <t>Number of full-time equivalents</t>
  </si>
  <si>
    <t>Support and partner onboarding</t>
  </si>
  <si>
    <t>Indicative capacity plan; personnel cost is not calculated from this row but from the approved regional cost budget below.</t>
  </si>
  <si>
    <t>Local operations management</t>
  </si>
  <si>
    <t>Secretarial and administrative support</t>
  </si>
  <si>
    <t>Marketing and partner relationships</t>
  </si>
  <si>
    <t>Personnel costs – total employer cost by function</t>
  </si>
  <si>
    <t>Functional allocation of total U.S. employer cost; the four rows together reconcile to the approved regional personnel budget.</t>
  </si>
  <si>
    <t>Remote-first U.S. presence: flexible coworking, meeting-room rentals and partner meetings. Not a permanent office lease.</t>
  </si>
  <si>
    <t>Remote-work allowance aligned with the timing of planned U.S. regional capacity.</t>
  </si>
  <si>
    <t>The base case assumes no permanent U.S. office or vehicle lease. This row may be activated only for a specific location, approved headcount and management approval.</t>
  </si>
  <si>
    <t>U.S. partner-acquisition and market-entry budget. This is neither a personnel cost nor a payment for partner participation.</t>
  </si>
  <si>
    <t>U.S. online and digital campaign budget.</t>
  </si>
  <si>
    <t>U.S. budget for partner acquisition, negotiations and on-site business presence.</t>
  </si>
  <si>
    <t>OPEX – Asia</t>
  </si>
  <si>
    <t>Functional allocation of total Asian employer cost; the four rows together reconcile to the approved regional personnel budget.</t>
  </si>
  <si>
    <t>Coworking and meeting-room budget aligned with a phased Asian market entry; the base case assumes no permanent office.</t>
  </si>
  <si>
    <t>Remote-work allowance aligned with the phased timing of Asian regional capacity.</t>
  </si>
  <si>
    <t>The base case assumes no permanent Asian office or vehicle lease. Any later activation requires a specific location and an approved cost plan.</t>
  </si>
  <si>
    <t>Asian partner-acquisition and market-entry budget. Not influencer sponsorship.</t>
  </si>
  <si>
    <t>Asian online and digital campaign budget.</t>
  </si>
  <si>
    <t>Asian budget for partner acquisition, negotiations and on-site business presence.</t>
  </si>
  <si>
    <t>General contingency reserve – not separately modeled</t>
  </si>
  <si>
    <t>USD 0 in the approved base case; it does not duplicate issuer commission pass-through, operating expenses or CAPEX.</t>
  </si>
  <si>
    <t>CAPEX – no approved items</t>
  </si>
  <si>
    <t>Capitalized development and equipment purchases</t>
  </si>
  <si>
    <t>No hardware or other CAPEX has been approved. It may be reintroduced only on the basis of a specific equipment list or an accounting classification.</t>
  </si>
  <si>
    <t>Depreciation and amortization – no modeled CAPEX</t>
  </si>
  <si>
    <t>CAPEX is USD 0; therefore, the base model includes no depreciation or amortization.</t>
  </si>
  <si>
    <t>Project Year 1</t>
  </si>
  <si>
    <t>Project Year 2</t>
  </si>
  <si>
    <t>Project Year 3</t>
  </si>
  <si>
    <t>Revenue</t>
  </si>
  <si>
    <t>Trade unions, chambers and NGOs</t>
  </si>
  <si>
    <t>Creators, influencers and public figures</t>
  </si>
  <si>
    <t>Transaction-based commission</t>
  </si>
  <si>
    <t>Base bercode creation fee revenue</t>
  </si>
  <si>
    <t>Coworking, remote work and regional-office preparation</t>
  </si>
  <si>
    <t>Personnel costs – total employer cost</t>
  </si>
  <si>
    <t>Additional employer charges – already included in the budget</t>
  </si>
  <si>
    <t>CAPEX</t>
  </si>
  <si>
    <t>Net book value</t>
  </si>
  <si>
    <t>Depreciation and amortization</t>
  </si>
  <si>
    <t>Bercode usage fee and membership management module revenue</t>
  </si>
  <si>
    <t>Transaction-based commission revenue</t>
  </si>
  <si>
    <t>Bercode creation fee revenue</t>
  </si>
  <si>
    <t>TOTAL REVENUE</t>
  </si>
  <si>
    <t>Transaction-based commissions passed through to issuers</t>
  </si>
  <si>
    <t>Personnel costs – total Benefit Barcode cash cost</t>
  </si>
  <si>
    <t>Remote work, coworking and business meetings</t>
  </si>
  <si>
    <t>Software licenses and B2B CRM</t>
  </si>
  <si>
    <t>Core platform and VirtualMerch / AR operations</t>
  </si>
  <si>
    <t>Accounting, legal, audit, compliance and insurance</t>
  </si>
  <si>
    <t>T04–T10 development program – operating expense</t>
  </si>
  <si>
    <t>CASH OPERATING EXPENSES</t>
  </si>
  <si>
    <t>EBITDA</t>
  </si>
  <si>
    <t>OPERATING PROFIT (EBIT)</t>
  </si>
  <si>
    <t>U.S. federal corporate income tax</t>
  </si>
  <si>
    <t>NET INCOME</t>
  </si>
  <si>
    <t>Item</t>
  </si>
  <si>
    <t>Planned share transaction and company financing</t>
  </si>
  <si>
    <t>Investor purchase price</t>
  </si>
  <si>
    <t>Existing shares transferred to the investor</t>
  </si>
  <si>
    <t>shares</t>
  </si>
  <si>
    <t>Ownership interest acquired</t>
  </si>
  <si>
    <t>Financing provided to the company</t>
  </si>
  <si>
    <t>Repayable liabilities</t>
  </si>
  <si>
    <t>Opening total repayable liabilities</t>
  </si>
  <si>
    <t>Repayment of shareholder loans to be settled</t>
  </si>
  <si>
    <t>Settlement of operating and employee-related liabilities</t>
  </si>
  <si>
    <t>Total repayment of liabilities and loans</t>
  </si>
  <si>
    <t>Closing total repayable liabilities</t>
  </si>
  <si>
    <t>FINANCING CASH FLOW</t>
  </si>
  <si>
    <t>Minimum liquidity reserve</t>
  </si>
  <si>
    <t>CLOSING CASH BALANCE</t>
  </si>
  <si>
    <t>Net income</t>
  </si>
  <si>
    <t>Repayment of prior operating and employee-related liabilities</t>
  </si>
  <si>
    <t>OPERATING CASH FLOW</t>
  </si>
  <si>
    <t>Capitalized development program</t>
  </si>
  <si>
    <t>Hardware CAPEX</t>
  </si>
  <si>
    <t>INVESTING CASH FLOW</t>
  </si>
  <si>
    <t>Financing cash inflow provided to the company</t>
  </si>
  <si>
    <t>CASH FLOW BEFORE FINANCING</t>
  </si>
  <si>
    <t>NET CHANGE IN CASH</t>
  </si>
  <si>
    <t>Opening cash balance</t>
  </si>
  <si>
    <t>ASSETS</t>
  </si>
  <si>
    <t>Non-current assets</t>
  </si>
  <si>
    <t>Intangible assets</t>
  </si>
  <si>
    <t>Property, plant and equipment</t>
  </si>
  <si>
    <t>Financial investments</t>
  </si>
  <si>
    <t>Current assets</t>
  </si>
  <si>
    <t>Inventories</t>
  </si>
  <si>
    <t>Receivables</t>
  </si>
  <si>
    <t>Marketable securities</t>
  </si>
  <si>
    <t>Cash and cash equivalents</t>
  </si>
  <si>
    <t>EQUITY AND LIABILITIES</t>
  </si>
  <si>
    <t>Equity</t>
  </si>
  <si>
    <t>Modeled new investor equity and additional paid-in capital</t>
  </si>
  <si>
    <t>Retained earnings and pro forma opening equity</t>
  </si>
  <si>
    <t>Net income for the year</t>
  </si>
  <si>
    <t>Liabilities</t>
  </si>
  <si>
    <t>Operating and employee-related liabilities</t>
  </si>
  <si>
    <t>Shareholder loans to be settled</t>
  </si>
  <si>
    <t>Subordinated founder/shareholder financing</t>
  </si>
  <si>
    <t>Temporary liquidity / bridge financing requirement</t>
  </si>
  <si>
    <t>Check</t>
  </si>
  <si>
    <t>Terminal value</t>
  </si>
  <si>
    <t>FCFF</t>
  </si>
  <si>
    <t>Operating profit (EBIT)</t>
  </si>
  <si>
    <t>Tax payable</t>
  </si>
  <si>
    <t>NOPAT</t>
  </si>
  <si>
    <t>Settlement of prior operating liabilities</t>
  </si>
  <si>
    <t>Capital expenditures</t>
  </si>
  <si>
    <t>Parameters</t>
  </si>
  <si>
    <t>Discount rate</t>
  </si>
  <si>
    <t>Info sheet – row 23.</t>
  </si>
  <si>
    <t>Perpetual growth rate</t>
  </si>
  <si>
    <t>EV/EBITDA multiple</t>
  </si>
  <si>
    <t>Info sheet – row 18.</t>
  </si>
  <si>
    <t>EV/EBITDA-based enterprise value</t>
  </si>
  <si>
    <t>DCF control value (Enterprise Value)</t>
  </si>
  <si>
    <t>Market-multiple enterprise value at the end of Project Year 3</t>
  </si>
  <si>
    <t>Discounted present value using a market exit-multiple terminal value (Enterprise Value)</t>
  </si>
  <si>
    <t>Investor ownership interest</t>
  </si>
  <si>
    <t>Cash balance at the end of Project Year 3</t>
  </si>
  <si>
    <t>Financing liabilities at the end of Project Year 3</t>
  </si>
  <si>
    <t>Estimated equity value</t>
  </si>
  <si>
    <t>Estimated value of the investor’s ownership interest</t>
  </si>
  <si>
    <t>Metric</t>
  </si>
  <si>
    <t>Enterprise Value</t>
  </si>
  <si>
    <t>Cash balance</t>
  </si>
  <si>
    <t>Financing liabilities</t>
  </si>
  <si>
    <t>Equity value</t>
  </si>
  <si>
    <t>Investor return</t>
  </si>
  <si>
    <t>Investor MOIC at the end of Project Year 3</t>
  </si>
  <si>
    <t>ROI at the end of Project Year 3</t>
  </si>
  <si>
    <t>The MOIC calculation is based on the equity value at the end of Project Year 3 under the current five-year base case.</t>
  </si>
  <si>
    <t>ROI = (estimated value of the investment at the end of Project Year 3 − purchase price) / purchase price</t>
  </si>
  <si>
    <t>BENEFIT BARCODE – FIVE-YEAR MANAGEMENT BASE CASE: ASSUMPTIONS</t>
  </si>
  <si>
    <t>The five-year management base case begins when the funding required to launch the project becomes available. The model presents the five-year operating, growth and valuation trajectory associated with the planned USD 1,000,000 share transaction.</t>
  </si>
  <si>
    <t>GENERAL MODEL INPUTS</t>
  </si>
  <si>
    <t>Input</t>
  </si>
  <si>
    <t>Value</t>
  </si>
  <si>
    <t>Source / status</t>
  </si>
  <si>
    <t>Exclusion / note</t>
  </si>
  <si>
    <t>Planning USD/HUF exchange rate</t>
  </si>
  <si>
    <t>Existing financial model</t>
  </si>
  <si>
    <t>Consistent translation basis.</t>
  </si>
  <si>
    <t>Average BB usage fee</t>
  </si>
  <si>
    <t>USD/paid bercode/month</t>
  </si>
  <si>
    <t>Approved management assumption</t>
  </si>
  <si>
    <t>Paid by the issuer; this is not a fee charged to the bercode holder.</t>
  </si>
  <si>
    <t>USD/chargeable new or renewed bercode</t>
  </si>
  <si>
    <t>Existing model; finalized operating specification</t>
  </si>
  <si>
    <t>Any issuer markup is not BB revenue; the one-time trial is free of charge.</t>
  </si>
  <si>
    <t>Purchase frequency</t>
  </si>
  <si>
    <t>transactions/active bercode/month</t>
  </si>
  <si>
    <t>Does not increase automatically in the model.</t>
  </si>
  <si>
    <t>Commission share passed through to issuers</t>
  </si>
  <si>
    <t>Platform condition</t>
  </si>
  <si>
    <t>Share of gross merchant commission.</t>
  </si>
  <si>
    <t>Contingency reserve</t>
  </si>
  <si>
    <t>% of controllable OPEX</t>
  </si>
  <si>
    <t>Existing model</t>
  </si>
  <si>
    <t>Does not duplicate issuer commission pass-through or CAPEX.</t>
  </si>
  <si>
    <t>% of taxable income</t>
  </si>
  <si>
    <t>IRS / Form 1120</t>
  </si>
  <si>
    <t>Simplified federal tax model.</t>
  </si>
  <si>
    <t>Opening federal NOL</t>
  </si>
  <si>
    <t>Balance available for carryforward into 2026.</t>
  </si>
  <si>
    <t>NOL utilization limit</t>
  </si>
  <si>
    <t>% of taxable income before NOL</t>
  </si>
  <si>
    <t>IRS – post-2017 NOL rule</t>
  </si>
  <si>
    <t>State taxes require a separate nexus analysis.</t>
  </si>
  <si>
    <t>Additional share issuance</t>
  </si>
  <si>
    <t>Founder’s commitment</t>
  </si>
  <si>
    <t>The share count remains 1,000,000; no dilution.</t>
  </si>
  <si>
    <t>% of all new and renewed bercodes</t>
  </si>
  <si>
    <t>Management decision – stress scenario</t>
  </si>
  <si>
    <t>The model applies the USD 0.05 base fee to 35% of all new and renewed bercodes.</t>
  </si>
  <si>
    <t>Management target for bercode holders at the end of Year 3</t>
  </si>
  <si>
    <t>people</t>
  </si>
  <si>
    <t>Management target scenario</t>
  </si>
  <si>
    <t>An ambitious growth target presented separately from the detailed operating base case.</t>
  </si>
  <si>
    <t>PARTNER AND COMMUNITY DRIVERS</t>
  </si>
  <si>
    <t>Segment</t>
  </si>
  <si>
    <t>Region</t>
  </si>
  <si>
    <t>Type</t>
  </si>
  <si>
    <t>Partners at end of Year 3</t>
  </si>
  <si>
    <t>Partners at end of Year 4</t>
  </si>
  <si>
    <t>Partners at end of Year 5</t>
  </si>
  <si>
    <t>Average community size</t>
  </si>
  <si>
    <t>Conversion rate</t>
  </si>
  <si>
    <t>Paid share</t>
  </si>
  <si>
    <t>Bercodes / holder</t>
  </si>
  <si>
    <t>Average basket (USD)</t>
  </si>
  <si>
    <t>Premium acceptance-partner traffic factor</t>
  </si>
  <si>
    <t>Europe – organizations</t>
  </si>
  <si>
    <t>Europe</t>
  </si>
  <si>
    <t>Organization</t>
  </si>
  <si>
    <t>Europe – creators</t>
  </si>
  <si>
    <t>Creator</t>
  </si>
  <si>
    <t>United States – organizations</t>
  </si>
  <si>
    <t>United States</t>
  </si>
  <si>
    <t>United States – creators</t>
  </si>
  <si>
    <t>Asia – organizations</t>
  </si>
  <si>
    <t>Asia</t>
  </si>
  <si>
    <t>Asia – creators</t>
  </si>
  <si>
    <t>YEAR-SPECIFIC NETWORK ASSUMPTIONS</t>
  </si>
  <si>
    <t>Project Year 4</t>
  </si>
  <si>
    <t>Project Year 5</t>
  </si>
  <si>
    <t>Share of active bercodes</t>
  </si>
  <si>
    <t>Weighted gross merchant commission</t>
  </si>
  <si>
    <t>% of GMV</t>
  </si>
  <si>
    <t>Traffic uplift from higher commission</t>
  </si>
  <si>
    <t>APPROVED FIVE-YEAR COST TRAJECTORY (USD)</t>
  </si>
  <si>
    <t>Cost item</t>
  </si>
  <si>
    <t>Year 1</t>
  </si>
  <si>
    <t>Year 2</t>
  </si>
  <si>
    <t>Year 4</t>
  </si>
  <si>
    <t>Year 5</t>
  </si>
  <si>
    <t>Derivation / source</t>
  </si>
  <si>
    <t>Double-counting exclusion</t>
  </si>
  <si>
    <t>Approved five-year personnel plan: core team plus separate incremental capacity.</t>
  </si>
  <si>
    <t>Mongouse and the T04–T10 development budgets are not included as personnel costs.</t>
  </si>
  <si>
    <t>HUF 50,000 per person per month based on average Hungary/EU headcount.</t>
  </si>
  <si>
    <t>No office lease in Hungary.</t>
  </si>
  <si>
    <t>Coworking and business meetings</t>
  </si>
  <si>
    <t>United States: USD 1,000/month; Asia: USD 800/month; Global Lead: USD 1,000/month, phased in according to entry timing.</t>
  </si>
  <si>
    <t>No regional office or vehicle lease.</t>
  </si>
  <si>
    <t>Software licenses</t>
  </si>
  <si>
    <t>HUF 40,000 per person per month based on average FTEs.</t>
  </si>
  <si>
    <t>CRM is presented as a separate line item.</t>
  </si>
  <si>
    <t>B2B CRM</t>
  </si>
  <si>
    <t>B2B only: issuers, acceptance partners, strategic partners and investors.</t>
  </si>
  <si>
    <t>Bercode holders are not included in the central CRM.</t>
  </si>
  <si>
    <t>Core platform infrastructure</t>
  </si>
  <si>
    <t>Servers, databases, cache, queues, CDN, monitoring, backups and contingency capacity.</t>
  </si>
  <si>
    <t>VirtualMerch/AR is presented as a separate line item.</t>
  </si>
  <si>
    <t>VirtualMerch / AR operations</t>
  </si>
  <si>
    <t>10% monthly active holders, 2 openings/month, 20 MB/opening.</t>
  </si>
  <si>
    <t>One-time migration is presented separately.</t>
  </si>
  <si>
    <t>Full cash cost of the approved T04–T10 development program. Conservatively treated as 100% operating expense unless subsequently classified otherwise by the accountant.</t>
  </si>
  <si>
    <t>No separate hardware CAPEX or capitalized-development component.</t>
  </si>
  <si>
    <t>Accounting, tax, legal, audit and compliance</t>
  </si>
  <si>
    <t>An increasing external-adviser budget to support international operations.</t>
  </si>
  <si>
    <t>Delaware franchise tax and registered-agent fees are presented separately.</t>
  </si>
  <si>
    <t>Delaware franchise tax + annual report</t>
  </si>
  <si>
    <t>Formula-driven Delaware module.</t>
  </si>
  <si>
    <t>Does not include Northwest service fees.</t>
  </si>
  <si>
    <t>Registered agent + filing service</t>
  </si>
  <si>
    <t>Northwest registered-agent and annual-report filing service.</t>
  </si>
  <si>
    <t>The USD 50 state fee is included in the Delaware line.</t>
  </si>
  <si>
    <t>Corporate insurance package</t>
  </si>
  <si>
    <t>D&amp;O, Tech E&amp;O + cyber, general liability and crime/fidelity.</t>
  </si>
  <si>
    <t>Employment-related insurance is included in employer cost.</t>
  </si>
  <si>
    <t>External budget that increases until critical mass is reached and subsequently declines as network effects strengthen.</t>
  </si>
  <si>
    <t>Compensation for Market Leads and the partner team is not included here.</t>
  </si>
  <si>
    <t>International partner development and in-person business presence.</t>
  </si>
  <si>
    <t>Event fees and campaigns are included in marketing.</t>
  </si>
  <si>
    <t>iPostal1 / business address</t>
  </si>
  <si>
    <t>TBD – to be updated when the actual package price is received.</t>
  </si>
  <si>
    <t>Not an office, not an employee worksite and not a nexus assumption.</t>
  </si>
  <si>
    <t>Capitalized development and equipment purchases (CAPEX)</t>
  </si>
  <si>
    <t>No hardware or other CAPEX has been approved. It may be reintroduced only on the basis of a specific equipment list.</t>
  </si>
  <si>
    <t>Not included in EBITDA; the operating development component is presented separately.</t>
  </si>
  <si>
    <t>Marketing percentage control</t>
  </si>
  <si>
    <t>The 3% figure is an upper-level control only, not a model formula.</t>
  </si>
  <si>
    <t>The model uses a bottom-up fixed trajectory.</t>
  </si>
  <si>
    <t>State corporate income tax</t>
  </si>
  <si>
    <t>Cannot be modeled reliably without a nexus and apportionment analysis.</t>
  </si>
  <si>
    <t>Florida has been removed; California is not assumed automatically.</t>
  </si>
  <si>
    <t>Hardware and equipment purchases – detailed CAPEX</t>
  </si>
  <si>
    <t>The previous USD 23,625 budget and subsequent equipment trajectory have been removed; a new list and unit prices are required.</t>
  </si>
  <si>
    <t>Part of total program CAPEX; not added separately.</t>
  </si>
  <si>
    <t>Capitalized development – detailed CAPEX</t>
  </si>
  <si>
    <t>The development program is treated as 100% expense in the base model.</t>
  </si>
  <si>
    <t>KEY SOURCES</t>
  </si>
  <si>
    <t>Topic</t>
  </si>
  <si>
    <t>Source</t>
  </si>
  <si>
    <t>URL / document</t>
  </si>
  <si>
    <t>2025 NOL and asset balance</t>
  </si>
  <si>
    <t>NOL: USD 1,447,782; total assets: USD 412.</t>
  </si>
  <si>
    <t>80% NOL limitation</t>
  </si>
  <si>
    <t>Post-2017 NOL carryforward.</t>
  </si>
  <si>
    <t>Simplified 21% model input.</t>
  </si>
  <si>
    <t>Delaware franchise tax</t>
  </si>
  <si>
    <t>The lower amount calculated under the two methods.</t>
  </si>
  <si>
    <t>Share structure</t>
  </si>
  <si>
    <t>2023 Annual Franchise Tax Report + management commitment</t>
  </si>
  <si>
    <t>1,000,000 authorized and issued shares; no dilution.</t>
  </si>
  <si>
    <t>FIVE-YEAR REVENUE MODEL – MEMBERSHIP + BENEFITS/LOYALTY + AFFILIATE</t>
  </si>
  <si>
    <t>The five-year revenue trajectory reflects the layered growth of Bercode Platform usage fees, the membership management module, transaction-based commissions and the bercode creation fee. Years 1–3 are based on the detailed regional model; Years 4–5 are driven by partner, community and transaction assumptions.</t>
  </si>
  <si>
    <t>Revenue item</t>
  </si>
  <si>
    <t>Bercode Platform usage fee revenue</t>
  </si>
  <si>
    <t>Membership management module revenue</t>
  </si>
  <si>
    <t>Gross transaction-based commission revenue</t>
  </si>
  <si>
    <t>Commission passed through to issuers</t>
  </si>
  <si>
    <t>Net commission retained by BB</t>
  </si>
  <si>
    <t>Supporting network metric</t>
  </si>
  <si>
    <t>Bercode holders at year-end</t>
  </si>
  <si>
    <t>Bercodes in circulation at year-end</t>
  </si>
  <si>
    <t>Organization-linked holders at year-end</t>
  </si>
  <si>
    <t>Active bercodes at year-end</t>
  </si>
  <si>
    <t>Annualized transaction volume based on the active year-end base</t>
  </si>
  <si>
    <t>FIVE-YEAR COST MODEL – REMOTE-FIRST, NO PERMANENT OFFICE</t>
  </si>
  <si>
    <t>The cost model assumes remote-first operations with no permanent offices and a controlled trajectory for personnel, technology, compliance and market development. The full USD 80,000 T04–T10 development program is treated as operating expense in Year 1; no CAPEX has been approved.</t>
  </si>
  <si>
    <t>iPostal1 / business address – TBD</t>
  </si>
  <si>
    <t>CONTROLLABLE CASH OPEX</t>
  </si>
  <si>
    <t>TOTAL CASH OPERATING EXPENSES</t>
  </si>
  <si>
    <t>Capitalized development and equipment purchases (CAPEX) – no approved items</t>
  </si>
  <si>
    <t>FIVE-YEAR FINANCIAL OUTPUT – APPROVED BASE CASE</t>
  </si>
  <si>
    <t>MANAGEMENT KPIs</t>
  </si>
  <si>
    <t>Year 5 revenue</t>
  </si>
  <si>
    <t>Year 5 EBITDA</t>
  </si>
  <si>
    <t>Controllable cash OPEX</t>
  </si>
  <si>
    <t>Year 5 EBITDA margin</t>
  </si>
  <si>
    <t>Cash balance at end of Year 5</t>
  </si>
  <si>
    <t>Bercode holders at end of Year 5</t>
  </si>
  <si>
    <t>Bercodes in circulation at end of Year 5</t>
  </si>
  <si>
    <t>EBITDA margin</t>
  </si>
  <si>
    <t>EBIT</t>
  </si>
  <si>
    <t>NOL utilized</t>
  </si>
  <si>
    <t>Closing federal NOL</t>
  </si>
  <si>
    <t>Federal taxable income</t>
  </si>
  <si>
    <t>State corporate income tax – not modeled without nexus analysis</t>
  </si>
  <si>
    <t>Operating cash flow before settlement of prior liabilities</t>
  </si>
  <si>
    <t>Equipment purchases (CAPEX) – no approved items</t>
  </si>
  <si>
    <t>FCFF / cash flow before financing</t>
  </si>
  <si>
    <t>Financing provided to the company – base model</t>
  </si>
  <si>
    <t>Cash balance before repayments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</si>
</sst>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0\x"/>
    <numFmt numFmtId="166" formatCode="#,##0;\-#,##0;\-"/>
    <numFmt numFmtId="171" formatCode="0.0\x"/>
    <numFmt numFmtId="172" formatCode="###\ ###\ ###\ ###\ ###\ ###\ ##0"/>
    <numFmt numFmtId="173" formatCode="0.000%"/>
    <numFmt numFmtId="178" formatCode="#,##0;[Red]\(#,##0\);\-"/>
    <numFmt numFmtId="179" formatCode="0.000"/>
    <numFmt numFmtId="183" formatCode="0.000%;\-0.000%;\-"/>
  </numFmts>
  <fonts count="49" x14ac:knownFonts="1">
    <font>
      <sz val="10"/>
      <color rgb="FF000000"/>
      <name val="Arial"/>
    </font>
    <font>
      <b/>
      <sz val="14"/>
      <color rgb="FF1155CC"/>
      <name val="Arial"/>
    </font>
    <font>
      <b/>
      <sz val="12"/>
      <color rgb="FF1155CC"/>
      <name val="Arial"/>
    </font>
    <font>
      <sz val="10"/>
      <color theme="1"/>
      <name val="Arial"/>
    </font>
    <font>
      <b/>
      <sz val="10"/>
      <color rgb="FF1155CC"/>
      <name val="Arial"/>
    </font>
    <font>
      <sz val="10"/>
      <color theme="10"/>
      <name val="Arial"/>
    </font>
    <font>
      <b/>
      <sz val="10"/>
      <color rgb="FFFFFFFF"/>
      <name val="Arial"/>
    </font>
    <font>
      <b/>
      <sz val="10"/>
      <color theme="1"/>
      <name val="Arial"/>
    </font>
    <font>
      <i/>
      <sz val="10"/>
      <color theme="1"/>
      <name val="Arial"/>
    </font>
    <font>
      <b/>
      <sz val="10"/>
      <color rgb="FF000000"/>
      <name val="Arial"/>
    </font>
    <font>
      <sz val="10"/>
      <color rgb="FFFF0000"/>
      <name val="Arial"/>
    </font>
    <font>
      <i/>
      <sz val="10"/>
      <color rgb="FF999999"/>
      <name val="Arial"/>
    </font>
    <font>
      <sz val="10"/>
      <color rgb="FF000000"/>
      <name val="Arial"/>
    </font>
    <font>
      <b/>
      <sz val="14"/>
      <color theme="1"/>
      <name val="Arial"/>
    </font>
    <font>
      <b/>
      <sz val="16"/>
      <color theme="1"/>
      <name val="Arial"/>
    </font>
    <font>
      <sz val="10"/>
      <name val="Arial"/>
    </font>
    <font>
      <sz val="10"/>
      <color rgb="FF0000FF"/>
      <name val="Arial"/>
    </font>
    <font>
      <sz val="10"/>
      <color rgb="FF008000"/>
      <name val="Arial"/>
    </font>
    <font>
      <i/>
      <sz val="10"/>
      <color rgb="FF000000"/>
      <name val="Arial"/>
    </font>
    <font>
      <b/>
      <sz val="16"/>
      <color rgb="FF1F5CC4"/>
      <name val="Arial"/>
    </font>
    <font>
      <b/>
      <sz val="13"/>
      <color rgb="FF1F5CC4"/>
      <name val="Arial"/>
    </font>
    <font>
      <b/>
      <sz val="11"/>
      <color rgb="FF1F5CC4"/>
      <name val="Arial"/>
    </font>
    <font>
      <sz val="10"/>
      <color rgb="FF0563C1"/>
      <name val="Arial"/>
    </font>
    <font>
      <sz val="10"/>
      <color rgb="FFBFBFBF"/>
      <name val="Arial"/>
    </font>
    <font>
      <b/>
      <sz val="10"/>
      <color theme="0"/>
      <name val="Arial"/>
    </font>
    <font>
      <sz val="10"/>
      <color theme="0"/>
      <name val="Arial"/>
    </font>
    <font>
      <sz val="10"/>
      <color rgb="FF000000"/>
      <name val="Arial"/>
    </font>
    <font>
      <i/>
      <sz val="10"/>
      <color theme="0" tint="-0.49980162968840602"/>
      <name val="Arial"/>
    </font>
    <font>
      <b/>
      <sz val="14"/>
      <color rgb="FFFFFFFF"/>
      <name val="Arial"/>
    </font>
    <font>
      <b/>
      <sz val="10"/>
      <color rgb="FF008000"/>
      <name val="Arial"/>
    </font>
    <font>
      <sz val="10"/>
      <color rgb="FF000000"/>
      <name val="Arial"/>
    </font>
    <font>
      <b/>
      <sz val="10"/>
      <color rgb="FF0000FF"/>
      <name val="Arial"/>
    </font>
    <font>
      <sz val="10"/>
      <color rgb="FF000000"/>
      <name val="Arial"/>
    </font>
    <font>
      <b/>
      <sz val="10"/>
      <color rgb="FF000000"/>
      <name val="Arial"/>
    </font>
    <font>
      <sz val="10"/>
      <color theme="1"/>
      <name val="Arial"/>
    </font>
    <font>
      <sz val="10"/>
      <name val="Arial"/>
    </font>
    <font>
      <sz val="10"/>
      <color rgb="FF000000"/>
      <name val="Arial"/>
    </font>
    <font>
      <sz val="10"/>
      <color theme="1"/>
      <name val="Arial"/>
    </font>
    <font>
      <b/>
      <sz val="10"/>
      <color rgb="FF000000"/>
      <name val="Arial"/>
    </font>
    <font>
      <sz val="10"/>
      <color rgb="FF000000"/>
      <name val="Arial"/>
    </font>
    <font>
      <b/>
      <sz val="12"/>
      <color rgb="FF1155CC"/>
      <name val="Arial"/>
    </font>
    <font>
      <b/>
      <i/>
      <sz val="10"/>
      <color theme="0" tint="-0.49980162968840602"/>
      <name val="Arial"/>
    </font>
    <font>
      <i/>
      <sz val="10"/>
      <color rgb="FF999999"/>
      <name val="Arial"/>
    </font>
    <font>
      <b/>
      <sz val="10"/>
      <color theme="0"/>
      <name val="Arial"/>
    </font>
    <font>
      <b/>
      <sz val="10"/>
      <name val="Arial"/>
    </font>
    <font>
      <i/>
      <sz val="10"/>
      <color theme="1"/>
      <name val="Arial"/>
    </font>
    <font>
      <sz val="10"/>
      <color theme="0"/>
      <name val="Arial"/>
    </font>
    <font>
      <b/>
      <sz val="10"/>
      <color theme="1"/>
      <name val="Arial"/>
    </font>
    <font>
      <b/>
      <sz val="11"/>
      <color rgb="FF1F5CC4"/>
      <name val="Arial"/>
    </font>
  </fonts>
  <fills count="33">
    <fill>
      <patternFill patternType="none"/>
    </fill>
    <fill>
      <patternFill patternType="gray125"/>
    </fill>
    <fill>
      <patternFill patternType="solid">
        <fgColor rgb="FF1155CC"/>
      </patternFill>
    </fill>
    <fill>
      <patternFill patternType="solid">
        <fgColor rgb="FFC9DAF8"/>
      </patternFill>
    </fill>
    <fill>
      <patternFill patternType="solid">
        <fgColor theme="0"/>
      </patternFill>
    </fill>
    <fill>
      <patternFill patternType="solid">
        <fgColor rgb="FFFFFFFF"/>
      </patternFill>
    </fill>
    <fill>
      <patternFill patternType="solid">
        <fgColor rgb="FFD9E6FC"/>
      </patternFill>
    </fill>
    <fill>
      <patternFill patternType="solid">
        <fgColor theme="0"/>
      </patternFill>
    </fill>
    <fill>
      <patternFill patternType="solid">
        <fgColor theme="0"/>
      </patternFill>
    </fill>
    <fill>
      <patternFill patternType="solid">
        <fgColor rgb="FFFFFFFF"/>
      </patternFill>
    </fill>
    <fill>
      <patternFill patternType="solid">
        <fgColor rgb="FFD9E8FB"/>
      </patternFill>
    </fill>
    <fill>
      <patternFill patternType="solid">
        <fgColor theme="4" tint="-0.249977111117893"/>
        <bgColor indexed="65"/>
      </patternFill>
    </fill>
    <fill>
      <patternFill patternType="solid">
        <fgColor theme="4" tint="0.79985961485641044"/>
        <bgColor indexed="65"/>
      </patternFill>
    </fill>
    <fill>
      <patternFill patternType="solid">
        <fgColor rgb="FF1155CC"/>
      </patternFill>
    </fill>
    <fill>
      <patternFill patternType="solid">
        <fgColor rgb="FFFFF2CC"/>
      </patternFill>
    </fill>
    <fill>
      <patternFill patternType="solid">
        <fgColor rgb="FFD9EAF7"/>
      </patternFill>
    </fill>
    <fill>
      <patternFill patternType="solid">
        <fgColor rgb="FFC9DAF8"/>
      </patternFill>
    </fill>
    <fill>
      <patternFill patternType="solid">
        <fgColor rgb="FFFFFFFF"/>
      </patternFill>
    </fill>
    <fill>
      <patternFill patternType="solid">
        <fgColor theme="0"/>
      </patternFill>
    </fill>
    <fill>
      <patternFill patternType="solid">
        <fgColor rgb="FF1C4587"/>
      </patternFill>
    </fill>
    <fill>
      <patternFill patternType="solid">
        <fgColor rgb="FF17365D"/>
      </patternFill>
    </fill>
    <fill>
      <patternFill patternType="solid">
        <fgColor rgb="FFFFF2CC"/>
      </patternFill>
    </fill>
    <fill>
      <patternFill patternType="solid">
        <fgColor rgb="FFD9EAF7"/>
      </patternFill>
    </fill>
    <fill>
      <patternFill patternType="solid">
        <fgColor rgb="FFEAF3F8"/>
      </patternFill>
    </fill>
    <fill>
      <patternFill patternType="solid">
        <fgColor rgb="FFFFFFFF"/>
      </patternFill>
    </fill>
    <fill>
      <patternFill patternType="solid">
        <fgColor rgb="FFE7E6E6"/>
      </patternFill>
    </fill>
    <fill>
      <patternFill patternType="solid">
        <fgColor rgb="FFFFF2CC"/>
      </patternFill>
    </fill>
    <fill>
      <patternFill patternType="solid">
        <fgColor rgb="FFD9EAF7"/>
      </patternFill>
    </fill>
    <fill>
      <patternFill patternType="solid">
        <fgColor rgb="FFC9DAF8"/>
      </patternFill>
    </fill>
    <fill>
      <patternFill patternType="solid">
        <fgColor rgb="FFC9DAF8"/>
      </patternFill>
    </fill>
    <fill>
      <patternFill patternType="solid">
        <fgColor rgb="FFFFF2CC"/>
      </patternFill>
    </fill>
    <fill>
      <patternFill patternType="solid">
        <fgColor rgb="FF1155CC"/>
      </patternFill>
    </fill>
    <fill>
      <patternFill patternType="solid">
        <fgColor rgb="FF1C4587"/>
      </patternFill>
    </fill>
  </fills>
  <borders count="4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4A86E8"/>
      </bottom>
      <diagonal/>
    </border>
    <border>
      <left style="thin">
        <color indexed="64"/>
      </left>
      <right style="thin">
        <color indexed="64"/>
      </right>
      <top style="thin">
        <color indexed="64"/>
      </top>
      <bottom style="thin">
        <color indexed="64"/>
      </bottom>
      <diagonal/>
    </border>
    <border>
      <left/>
      <right/>
      <top/>
      <bottom style="thin">
        <color rgb="FF17365D"/>
      </bottom>
      <diagonal/>
    </border>
    <border>
      <left/>
      <right/>
      <top/>
      <bottom style="thin">
        <color rgb="FF6EA0FF"/>
      </bottom>
      <diagonal/>
    </border>
    <border>
      <left/>
      <right/>
      <top/>
      <bottom/>
      <diagonal/>
    </border>
    <border>
      <left/>
      <right/>
      <top style="thin">
        <color rgb="FF17365D"/>
      </top>
      <bottom/>
      <diagonal/>
    </border>
    <border>
      <left/>
      <right/>
      <top/>
      <bottom/>
      <diagonal/>
    </border>
    <border>
      <left/>
      <right/>
      <top/>
      <bottom style="thin">
        <color rgb="FF17365D"/>
      </bottom>
      <diagonal/>
    </border>
    <border>
      <left/>
      <right/>
      <top/>
      <bottom/>
      <diagonal/>
    </border>
    <border>
      <left/>
      <right/>
      <top/>
      <bottom style="thin">
        <color rgb="FF4A86E8"/>
      </bottom>
      <diagonal/>
    </border>
    <border>
      <left/>
      <right/>
      <top/>
      <bottom style="thin">
        <color rgb="FF17365D"/>
      </bottom>
      <diagonal/>
    </border>
    <border>
      <left style="thin">
        <color rgb="FF000000"/>
      </left>
      <right style="thin">
        <color rgb="FF000000"/>
      </right>
      <top style="thin">
        <color rgb="FF000000"/>
      </top>
      <bottom style="thin">
        <color theme="1"/>
      </bottom>
      <diagonal/>
    </border>
    <border>
      <left/>
      <right style="thin">
        <color theme="1"/>
      </right>
      <top/>
      <bottom/>
      <diagonal/>
    </border>
    <border>
      <left style="thin">
        <color theme="1"/>
      </left>
      <right/>
      <top style="thin">
        <color indexed="64"/>
      </top>
      <bottom/>
      <diagonal/>
    </border>
    <border>
      <left style="thin">
        <color theme="1"/>
      </left>
      <right/>
      <top style="thin">
        <color theme="1"/>
      </top>
      <bottom style="thin">
        <color theme="1"/>
      </bottom>
      <diagonal/>
    </border>
    <border>
      <left/>
      <right/>
      <top style="thin">
        <color indexed="64"/>
      </top>
      <bottom style="thin">
        <color theme="1"/>
      </bottom>
      <diagonal/>
    </border>
    <border>
      <left style="thin">
        <color theme="1"/>
      </left>
      <right/>
      <top/>
      <bottom/>
      <diagonal/>
    </border>
    <border>
      <left/>
      <right style="thin">
        <color theme="1"/>
      </right>
      <top style="thin">
        <color theme="1"/>
      </top>
      <bottom style="thin">
        <color theme="1"/>
      </bottom>
      <diagonal/>
    </border>
    <border>
      <left/>
      <right/>
      <top style="double">
        <color rgb="FF17365D"/>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17365D"/>
      </top>
      <bottom/>
      <diagonal/>
    </border>
    <border>
      <left/>
      <right/>
      <top style="double">
        <color rgb="FF17365D"/>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4A86E8"/>
      </top>
      <bottom/>
      <diagonal/>
    </border>
    <border>
      <left/>
      <right/>
      <top style="medium">
        <color indexed="64"/>
      </top>
      <bottom style="medium">
        <color indexed="64"/>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s>
  <cellStyleXfs count="4">
    <xf numFmtId="0" fontId="0" fillId="0" borderId="31"/>
    <xf numFmtId="0" fontId="5" fillId="0" borderId="31"/>
    <xf numFmtId="9" fontId="30" fillId="0" borderId="31"/>
    <xf numFmtId="43" fontId="30" fillId="0" borderId="31"/>
  </cellStyleXfs>
  <cellXfs count="371">
    <xf numFmtId="0" fontId="0" fillId="0" borderId="0" xfId="0" applyBorder="1"/>
    <xf numFmtId="0" fontId="0" fillId="0" borderId="0" xfId="0" applyBorder="1" applyAlignment="1">
      <alignment vertical="center"/>
    </xf>
    <xf numFmtId="166" fontId="0" fillId="0" borderId="0" xfId="0" applyNumberFormat="1" applyBorder="1" applyAlignment="1">
      <alignment vertical="center"/>
    </xf>
    <xf numFmtId="0" fontId="0" fillId="0" borderId="8" xfId="0"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xf>
    <xf numFmtId="0" fontId="0" fillId="0" borderId="0" xfId="0" applyBorder="1" applyAlignment="1">
      <alignment horizontal="left"/>
    </xf>
    <xf numFmtId="0" fontId="9" fillId="16" borderId="0" xfId="0" applyFont="1" applyFill="1" applyBorder="1" applyAlignment="1">
      <alignment horizontal="right" vertical="center"/>
    </xf>
    <xf numFmtId="166" fontId="9" fillId="16" borderId="0" xfId="0" applyNumberFormat="1" applyFont="1" applyFill="1" applyBorder="1" applyAlignment="1">
      <alignment horizontal="right" vertical="center"/>
    </xf>
    <xf numFmtId="0" fontId="9" fillId="16" borderId="0" xfId="0" applyFont="1" applyFill="1" applyBorder="1" applyAlignment="1">
      <alignment horizontal="left" vertical="center"/>
    </xf>
    <xf numFmtId="0" fontId="9" fillId="16" borderId="0" xfId="0" applyFont="1" applyFill="1" applyBorder="1" applyAlignment="1">
      <alignment horizontal="left" vertical="center" wrapText="1"/>
    </xf>
    <xf numFmtId="0" fontId="0" fillId="0" borderId="12" xfId="0" applyBorder="1" applyAlignment="1">
      <alignment vertical="center"/>
    </xf>
    <xf numFmtId="0" fontId="6" fillId="19" borderId="6" xfId="0" applyFont="1" applyFill="1" applyBorder="1" applyAlignment="1">
      <alignment horizontal="left" vertical="center"/>
    </xf>
    <xf numFmtId="0" fontId="6" fillId="19" borderId="6" xfId="0" applyFont="1" applyFill="1" applyBorder="1" applyAlignment="1">
      <alignment horizontal="right" vertical="center"/>
    </xf>
    <xf numFmtId="0" fontId="6" fillId="19" borderId="6" xfId="0" applyFont="1" applyFill="1" applyBorder="1" applyAlignment="1">
      <alignment horizontal="center" vertical="center"/>
    </xf>
    <xf numFmtId="0" fontId="6" fillId="19" borderId="11" xfId="0" applyFont="1" applyFill="1" applyBorder="1" applyAlignment="1">
      <alignment horizontal="right" vertical="center"/>
    </xf>
    <xf numFmtId="0" fontId="6" fillId="19" borderId="8" xfId="0" applyFont="1" applyFill="1" applyBorder="1" applyAlignment="1">
      <alignment horizontal="right" vertical="center"/>
    </xf>
    <xf numFmtId="0" fontId="6" fillId="19" borderId="0" xfId="0" applyFont="1" applyFill="1" applyBorder="1" applyAlignment="1">
      <alignment horizontal="left" vertical="center"/>
    </xf>
    <xf numFmtId="0" fontId="6" fillId="19" borderId="0" xfId="0" applyFont="1" applyFill="1" applyBorder="1" applyAlignment="1">
      <alignment horizontal="right" vertical="center"/>
    </xf>
    <xf numFmtId="166" fontId="6" fillId="19" borderId="0" xfId="0" applyNumberFormat="1" applyFont="1" applyFill="1" applyBorder="1" applyAlignment="1">
      <alignment horizontal="right" vertical="center"/>
    </xf>
    <xf numFmtId="0" fontId="1" fillId="0" borderId="0" xfId="0" applyFont="1" applyBorder="1" applyAlignment="1">
      <alignment vertical="center" wrapText="1"/>
    </xf>
    <xf numFmtId="0" fontId="2" fillId="0" borderId="0" xfId="0" applyFont="1" applyBorder="1" applyAlignment="1">
      <alignment vertical="center"/>
    </xf>
    <xf numFmtId="0" fontId="3" fillId="0" borderId="0" xfId="0" applyFont="1" applyBorder="1" applyAlignment="1">
      <alignment vertical="center"/>
    </xf>
    <xf numFmtId="0" fontId="0" fillId="0" borderId="9" xfId="0" applyBorder="1" applyAlignment="1">
      <alignment vertical="center"/>
    </xf>
    <xf numFmtId="0" fontId="24" fillId="2" borderId="8" xfId="0" applyFont="1" applyFill="1" applyBorder="1" applyAlignment="1">
      <alignment vertical="center"/>
    </xf>
    <xf numFmtId="0" fontId="24" fillId="2" borderId="8" xfId="0" applyFont="1" applyFill="1" applyBorder="1" applyAlignment="1">
      <alignment horizontal="right" vertical="center"/>
    </xf>
    <xf numFmtId="166" fontId="24" fillId="2" borderId="8" xfId="0" applyNumberFormat="1" applyFont="1" applyFill="1" applyBorder="1" applyAlignment="1">
      <alignment horizontal="right" vertical="center"/>
    </xf>
    <xf numFmtId="0" fontId="25" fillId="0" borderId="0" xfId="0" applyFont="1" applyBorder="1" applyAlignment="1">
      <alignment vertical="center"/>
    </xf>
    <xf numFmtId="0" fontId="9" fillId="3" borderId="8" xfId="0" applyFont="1" applyFill="1" applyBorder="1" applyAlignment="1">
      <alignment vertical="center"/>
    </xf>
    <xf numFmtId="0" fontId="9" fillId="3" borderId="8" xfId="0" applyFont="1" applyFill="1" applyBorder="1" applyAlignment="1">
      <alignment horizontal="right" vertical="center"/>
    </xf>
    <xf numFmtId="166" fontId="9" fillId="3" borderId="8" xfId="0" applyNumberFormat="1" applyFont="1" applyFill="1" applyBorder="1" applyAlignment="1">
      <alignment horizontal="right" vertical="center"/>
    </xf>
    <xf numFmtId="0" fontId="3" fillId="0" borderId="0" xfId="0" applyFont="1" applyBorder="1" applyAlignment="1">
      <alignment horizontal="right" vertical="center"/>
    </xf>
    <xf numFmtId="0" fontId="3" fillId="0" borderId="8" xfId="0" applyFont="1" applyBorder="1" applyAlignment="1">
      <alignment vertical="center"/>
    </xf>
    <xf numFmtId="0" fontId="3" fillId="0" borderId="8" xfId="0" applyFont="1" applyBorder="1" applyAlignment="1">
      <alignment horizontal="right" vertical="center"/>
    </xf>
    <xf numFmtId="172" fontId="3" fillId="0" borderId="0" xfId="0" applyNumberFormat="1" applyFont="1" applyBorder="1" applyAlignment="1">
      <alignment vertical="center"/>
    </xf>
    <xf numFmtId="166" fontId="0" fillId="0" borderId="8" xfId="0" applyNumberFormat="1" applyBorder="1" applyAlignment="1">
      <alignment vertical="center"/>
    </xf>
    <xf numFmtId="0" fontId="11" fillId="0" borderId="0" xfId="0" applyFont="1" applyBorder="1" applyAlignment="1">
      <alignment vertical="center"/>
    </xf>
    <xf numFmtId="0" fontId="9" fillId="0" borderId="8" xfId="0" applyFont="1" applyBorder="1" applyAlignment="1">
      <alignment vertical="center"/>
    </xf>
    <xf numFmtId="172" fontId="11" fillId="0" borderId="0" xfId="0" applyNumberFormat="1" applyFont="1" applyBorder="1" applyAlignment="1">
      <alignment horizontal="center" vertical="center"/>
    </xf>
    <xf numFmtId="0" fontId="11" fillId="0" borderId="0" xfId="0" applyFont="1" applyBorder="1" applyAlignment="1">
      <alignment horizontal="center" vertical="center"/>
    </xf>
    <xf numFmtId="0" fontId="9" fillId="12" borderId="8" xfId="0" applyFont="1" applyFill="1" applyBorder="1" applyAlignment="1">
      <alignment vertical="center"/>
    </xf>
    <xf numFmtId="0" fontId="9" fillId="12" borderId="8" xfId="0" applyFont="1" applyFill="1" applyBorder="1" applyAlignment="1">
      <alignment horizontal="right" vertical="center"/>
    </xf>
    <xf numFmtId="166" fontId="9" fillId="12" borderId="8" xfId="0" applyNumberFormat="1" applyFont="1" applyFill="1" applyBorder="1" applyAlignment="1">
      <alignment vertical="center"/>
    </xf>
    <xf numFmtId="0" fontId="6" fillId="13" borderId="10" xfId="0" applyFont="1" applyFill="1" applyBorder="1" applyAlignment="1">
      <alignment horizontal="right" vertical="center"/>
    </xf>
    <xf numFmtId="172" fontId="6" fillId="13" borderId="10" xfId="0" applyNumberFormat="1" applyFont="1" applyFill="1" applyBorder="1" applyAlignment="1">
      <alignment vertical="center"/>
    </xf>
    <xf numFmtId="0" fontId="0" fillId="0" borderId="0" xfId="0" applyBorder="1" applyAlignment="1">
      <alignment horizontal="right" vertical="center"/>
    </xf>
    <xf numFmtId="0" fontId="3" fillId="0" borderId="0" xfId="0" applyFont="1" applyBorder="1" applyAlignment="1">
      <alignment horizontal="left" vertical="center"/>
    </xf>
    <xf numFmtId="0" fontId="24" fillId="11" borderId="8" xfId="0" applyFont="1" applyFill="1" applyBorder="1" applyAlignment="1">
      <alignment horizontal="left" vertical="center"/>
    </xf>
    <xf numFmtId="0" fontId="24" fillId="11" borderId="8" xfId="0" applyFont="1" applyFill="1" applyBorder="1" applyAlignment="1">
      <alignment horizontal="right" vertical="center"/>
    </xf>
    <xf numFmtId="166" fontId="9" fillId="0" borderId="0" xfId="0" applyNumberFormat="1" applyFont="1" applyBorder="1" applyAlignment="1">
      <alignment vertical="center"/>
    </xf>
    <xf numFmtId="0" fontId="10" fillId="0" borderId="0" xfId="0" applyFont="1" applyBorder="1" applyAlignment="1">
      <alignment vertical="center"/>
    </xf>
    <xf numFmtId="0" fontId="3" fillId="0" borderId="8" xfId="0" applyFont="1" applyBorder="1" applyAlignment="1">
      <alignment horizontal="left" vertical="center"/>
    </xf>
    <xf numFmtId="166" fontId="9" fillId="0" borderId="8" xfId="0" applyNumberFormat="1" applyFont="1" applyBorder="1" applyAlignment="1">
      <alignment vertical="center"/>
    </xf>
    <xf numFmtId="166" fontId="24" fillId="11" borderId="8" xfId="0" applyNumberFormat="1" applyFont="1" applyFill="1" applyBorder="1" applyAlignment="1">
      <alignment vertical="center"/>
    </xf>
    <xf numFmtId="0" fontId="7" fillId="0" borderId="8" xfId="0" applyFont="1" applyBorder="1" applyAlignment="1">
      <alignment horizontal="left" vertical="center"/>
    </xf>
    <xf numFmtId="0" fontId="7" fillId="0" borderId="8" xfId="0" applyFont="1" applyBorder="1" applyAlignment="1">
      <alignment horizontal="right" vertical="center"/>
    </xf>
    <xf numFmtId="0" fontId="0" fillId="0" borderId="10" xfId="0" applyBorder="1" applyAlignment="1">
      <alignment vertical="center"/>
    </xf>
    <xf numFmtId="0" fontId="3" fillId="19" borderId="1" xfId="0" applyFont="1" applyFill="1" applyBorder="1" applyAlignment="1">
      <alignment vertical="center"/>
    </xf>
    <xf numFmtId="0" fontId="6" fillId="19" borderId="10" xfId="0" applyFont="1" applyFill="1" applyBorder="1" applyAlignment="1">
      <alignment horizontal="right" vertical="center"/>
    </xf>
    <xf numFmtId="0" fontId="4" fillId="0" borderId="4" xfId="0" applyFont="1" applyBorder="1" applyAlignment="1">
      <alignment vertical="center"/>
    </xf>
    <xf numFmtId="0" fontId="3" fillId="0" borderId="4" xfId="0" applyFont="1" applyBorder="1" applyAlignment="1">
      <alignment horizontal="right" vertical="center"/>
    </xf>
    <xf numFmtId="0" fontId="3" fillId="0" borderId="4" xfId="0" applyFont="1" applyBorder="1" applyAlignment="1">
      <alignment vertical="center"/>
    </xf>
    <xf numFmtId="0" fontId="7" fillId="0" borderId="0" xfId="0" applyFont="1" applyBorder="1" applyAlignment="1">
      <alignment vertical="center"/>
    </xf>
    <xf numFmtId="172" fontId="3" fillId="0" borderId="0" xfId="0" applyNumberFormat="1" applyFont="1" applyBorder="1" applyAlignment="1">
      <alignment horizontal="right" vertical="center"/>
    </xf>
    <xf numFmtId="172" fontId="0" fillId="0" borderId="0" xfId="0" applyNumberFormat="1" applyBorder="1" applyAlignment="1">
      <alignment vertical="center"/>
    </xf>
    <xf numFmtId="172" fontId="3" fillId="4" borderId="1" xfId="0" applyNumberFormat="1" applyFont="1" applyFill="1" applyBorder="1" applyAlignment="1">
      <alignment vertical="center"/>
    </xf>
    <xf numFmtId="0" fontId="9"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wrapText="1"/>
    </xf>
    <xf numFmtId="0" fontId="3" fillId="19" borderId="1" xfId="0" applyFont="1" applyFill="1" applyBorder="1" applyAlignment="1">
      <alignment vertical="center" wrapText="1"/>
    </xf>
    <xf numFmtId="0" fontId="6" fillId="19" borderId="1" xfId="0" applyFont="1" applyFill="1" applyBorder="1" applyAlignment="1">
      <alignment horizontal="right" vertical="center"/>
    </xf>
    <xf numFmtId="0" fontId="1" fillId="0" borderId="4" xfId="0" applyFont="1" applyBorder="1" applyAlignment="1">
      <alignment vertical="center" wrapText="1"/>
    </xf>
    <xf numFmtId="0" fontId="3" fillId="0" borderId="0" xfId="0" applyFont="1" applyBorder="1" applyAlignment="1">
      <alignment vertical="center" wrapText="1"/>
    </xf>
    <xf numFmtId="14" fontId="3" fillId="3" borderId="2" xfId="0" applyNumberFormat="1" applyFont="1" applyFill="1" applyBorder="1" applyAlignment="1">
      <alignment vertical="center"/>
    </xf>
    <xf numFmtId="14" fontId="3" fillId="0" borderId="0" xfId="0" applyNumberFormat="1" applyFont="1" applyBorder="1" applyAlignment="1">
      <alignment vertical="center"/>
    </xf>
    <xf numFmtId="9" fontId="3" fillId="3" borderId="2" xfId="0" applyNumberFormat="1" applyFont="1" applyFill="1" applyBorder="1" applyAlignment="1">
      <alignment vertical="center"/>
    </xf>
    <xf numFmtId="9" fontId="3" fillId="0" borderId="0" xfId="0" applyNumberFormat="1" applyFont="1" applyBorder="1" applyAlignment="1">
      <alignment vertical="center"/>
    </xf>
    <xf numFmtId="164" fontId="3" fillId="0" borderId="0" xfId="0" applyNumberFormat="1" applyFont="1" applyBorder="1" applyAlignment="1">
      <alignment vertical="center"/>
    </xf>
    <xf numFmtId="0" fontId="13"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vertical="center" wrapText="1"/>
    </xf>
    <xf numFmtId="0" fontId="12" fillId="0" borderId="0" xfId="0" applyFont="1" applyBorder="1" applyAlignment="1">
      <alignment vertical="center"/>
    </xf>
    <xf numFmtId="0" fontId="12" fillId="0" borderId="0" xfId="0" applyFont="1" applyBorder="1" applyAlignment="1">
      <alignment horizontal="right" vertical="center"/>
    </xf>
    <xf numFmtId="172" fontId="3" fillId="3" borderId="2" xfId="0" applyNumberFormat="1" applyFont="1" applyFill="1" applyBorder="1" applyAlignment="1">
      <alignment vertical="center"/>
    </xf>
    <xf numFmtId="172" fontId="0" fillId="17" borderId="2" xfId="0" applyNumberFormat="1" applyFill="1" applyBorder="1" applyAlignment="1">
      <alignment vertical="center"/>
    </xf>
    <xf numFmtId="0" fontId="3" fillId="0" borderId="1" xfId="0" applyFont="1" applyBorder="1" applyAlignment="1">
      <alignment vertical="center" wrapText="1"/>
    </xf>
    <xf numFmtId="164" fontId="3" fillId="3" borderId="2" xfId="0" applyNumberFormat="1" applyFont="1" applyFill="1" applyBorder="1" applyAlignment="1">
      <alignment vertical="center"/>
    </xf>
    <xf numFmtId="0" fontId="14" fillId="0" borderId="0" xfId="0" applyFont="1" applyBorder="1" applyAlignment="1">
      <alignment vertical="center" wrapText="1"/>
    </xf>
    <xf numFmtId="0" fontId="7" fillId="4" borderId="1" xfId="0" applyFont="1" applyFill="1" applyBorder="1" applyAlignment="1">
      <alignment horizontal="center" vertical="center"/>
    </xf>
    <xf numFmtId="0" fontId="3" fillId="7" borderId="0" xfId="0" applyFont="1" applyFill="1" applyBorder="1" applyAlignment="1">
      <alignment horizontal="right" vertical="center"/>
    </xf>
    <xf numFmtId="0" fontId="4" fillId="0" borderId="0" xfId="0" applyFont="1" applyBorder="1" applyAlignment="1">
      <alignment vertical="center" wrapText="1"/>
    </xf>
    <xf numFmtId="172" fontId="3" fillId="4" borderId="2" xfId="0" applyNumberFormat="1" applyFont="1" applyFill="1" applyBorder="1" applyAlignment="1">
      <alignment vertical="center"/>
    </xf>
    <xf numFmtId="12" fontId="3" fillId="3" borderId="2" xfId="0" applyNumberFormat="1" applyFont="1" applyFill="1" applyBorder="1" applyAlignment="1">
      <alignment vertical="center"/>
    </xf>
    <xf numFmtId="4" fontId="0" fillId="17" borderId="2" xfId="0" applyNumberFormat="1" applyFill="1" applyBorder="1" applyAlignment="1">
      <alignment vertical="center"/>
    </xf>
    <xf numFmtId="172" fontId="3" fillId="4" borderId="15" xfId="0" applyNumberFormat="1" applyFont="1" applyFill="1" applyBorder="1" applyAlignment="1">
      <alignment vertical="center"/>
    </xf>
    <xf numFmtId="172" fontId="0" fillId="17" borderId="15" xfId="0" applyNumberFormat="1" applyFill="1" applyBorder="1" applyAlignment="1">
      <alignment vertical="center"/>
    </xf>
    <xf numFmtId="172" fontId="15" fillId="3" borderId="2" xfId="0" applyNumberFormat="1" applyFont="1" applyFill="1" applyBorder="1" applyAlignment="1">
      <alignment vertical="center"/>
    </xf>
    <xf numFmtId="0" fontId="8" fillId="0" borderId="0" xfId="0" applyFont="1" applyBorder="1" applyAlignment="1">
      <alignment vertical="center" wrapText="1"/>
    </xf>
    <xf numFmtId="172" fontId="0" fillId="3" borderId="2" xfId="0" applyNumberFormat="1" applyFill="1" applyBorder="1" applyAlignment="1">
      <alignment horizontal="right" vertical="center"/>
    </xf>
    <xf numFmtId="172" fontId="0" fillId="3" borderId="3" xfId="0" applyNumberFormat="1" applyFill="1" applyBorder="1" applyAlignment="1">
      <alignment horizontal="right" vertical="center"/>
    </xf>
    <xf numFmtId="0" fontId="7" fillId="0" borderId="1" xfId="0" applyFont="1" applyBorder="1" applyAlignment="1">
      <alignment vertical="center" wrapText="1"/>
    </xf>
    <xf numFmtId="0" fontId="0" fillId="0" borderId="1" xfId="0" applyBorder="1" applyAlignment="1">
      <alignment vertical="center" wrapText="1"/>
    </xf>
    <xf numFmtId="172" fontId="3" fillId="3" borderId="15" xfId="0" applyNumberFormat="1" applyFont="1" applyFill="1" applyBorder="1" applyAlignment="1">
      <alignment vertical="center"/>
    </xf>
    <xf numFmtId="172" fontId="3" fillId="8" borderId="2" xfId="0" applyNumberFormat="1" applyFont="1" applyFill="1" applyBorder="1" applyAlignment="1">
      <alignment vertical="center"/>
    </xf>
    <xf numFmtId="164" fontId="16" fillId="0" borderId="0" xfId="0" applyNumberFormat="1" applyFont="1" applyBorder="1" applyAlignment="1">
      <alignment vertical="center"/>
    </xf>
    <xf numFmtId="164" fontId="0" fillId="0" borderId="0" xfId="0" applyNumberFormat="1" applyBorder="1" applyAlignment="1">
      <alignment vertical="center"/>
    </xf>
    <xf numFmtId="1" fontId="3" fillId="3" borderId="3" xfId="0" applyNumberFormat="1" applyFont="1" applyFill="1" applyBorder="1" applyAlignment="1">
      <alignment vertical="center"/>
    </xf>
    <xf numFmtId="1" fontId="0" fillId="5" borderId="3" xfId="0" applyNumberFormat="1" applyFill="1" applyBorder="1" applyAlignment="1">
      <alignment vertical="center"/>
    </xf>
    <xf numFmtId="1" fontId="3" fillId="3" borderId="2" xfId="0" applyNumberFormat="1" applyFont="1" applyFill="1" applyBorder="1" applyAlignment="1">
      <alignment vertical="center"/>
    </xf>
    <xf numFmtId="1" fontId="0" fillId="5" borderId="2" xfId="0" applyNumberFormat="1" applyFill="1" applyBorder="1" applyAlignment="1">
      <alignment vertical="center"/>
    </xf>
    <xf numFmtId="1" fontId="3" fillId="6" borderId="2" xfId="0" applyNumberFormat="1" applyFont="1" applyFill="1" applyBorder="1" applyAlignment="1">
      <alignment vertical="center"/>
    </xf>
    <xf numFmtId="1" fontId="3" fillId="5" borderId="2" xfId="0" applyNumberFormat="1" applyFont="1" applyFill="1" applyBorder="1" applyAlignment="1">
      <alignment vertical="center"/>
    </xf>
    <xf numFmtId="1" fontId="3" fillId="4" borderId="2" xfId="0" applyNumberFormat="1" applyFont="1" applyFill="1" applyBorder="1" applyAlignment="1">
      <alignment vertical="center"/>
    </xf>
    <xf numFmtId="0" fontId="9" fillId="22" borderId="0" xfId="0" applyFont="1" applyFill="1" applyBorder="1" applyAlignment="1">
      <alignment horizontal="center" vertical="center"/>
    </xf>
    <xf numFmtId="1" fontId="16" fillId="0" borderId="0" xfId="0" applyNumberFormat="1" applyFont="1" applyBorder="1" applyAlignment="1">
      <alignment vertical="center"/>
    </xf>
    <xf numFmtId="2" fontId="16" fillId="0" borderId="0" xfId="0" applyNumberFormat="1" applyFont="1" applyBorder="1" applyAlignment="1">
      <alignment vertical="center"/>
    </xf>
    <xf numFmtId="0" fontId="9" fillId="22" borderId="0" xfId="0" applyFont="1" applyFill="1" applyBorder="1" applyAlignment="1">
      <alignment horizontal="center" vertical="center" wrapText="1"/>
    </xf>
    <xf numFmtId="179" fontId="16" fillId="0" borderId="0" xfId="0" applyNumberFormat="1" applyFont="1" applyBorder="1" applyAlignment="1">
      <alignment vertical="center"/>
    </xf>
    <xf numFmtId="0" fontId="9" fillId="22" borderId="23" xfId="0" applyFont="1" applyFill="1" applyBorder="1" applyAlignment="1">
      <alignment horizontal="center" vertical="center" wrapText="1"/>
    </xf>
    <xf numFmtId="0" fontId="0" fillId="0" borderId="26" xfId="0" applyBorder="1" applyAlignment="1">
      <alignment vertical="center" wrapText="1"/>
    </xf>
    <xf numFmtId="0" fontId="0" fillId="0" borderId="29" xfId="0" applyBorder="1" applyAlignment="1">
      <alignment vertical="center" wrapText="1"/>
    </xf>
    <xf numFmtId="0" fontId="9" fillId="22" borderId="0" xfId="0" applyFont="1" applyFill="1" applyBorder="1" applyAlignment="1">
      <alignment vertical="center" wrapText="1"/>
    </xf>
    <xf numFmtId="0" fontId="0" fillId="0" borderId="31" xfId="0"/>
    <xf numFmtId="0" fontId="3" fillId="0" borderId="31" xfId="0" applyFont="1" applyAlignment="1">
      <alignment vertical="center"/>
    </xf>
    <xf numFmtId="0" fontId="3" fillId="0" borderId="31" xfId="0" applyFont="1" applyAlignment="1">
      <alignment vertical="center" wrapText="1"/>
    </xf>
    <xf numFmtId="0" fontId="3" fillId="0" borderId="31" xfId="0" applyFont="1" applyAlignment="1">
      <alignment horizontal="right" vertical="center"/>
    </xf>
    <xf numFmtId="164" fontId="16" fillId="0" borderId="31" xfId="0" applyNumberFormat="1" applyFont="1" applyAlignment="1">
      <alignment vertical="center"/>
    </xf>
    <xf numFmtId="0" fontId="0" fillId="0" borderId="31" xfId="0" applyAlignment="1">
      <alignment vertical="center"/>
    </xf>
    <xf numFmtId="0" fontId="9" fillId="0" borderId="0" xfId="0" applyFont="1" applyBorder="1" applyAlignment="1">
      <alignment horizontal="right" vertical="center"/>
    </xf>
    <xf numFmtId="166" fontId="9" fillId="0" borderId="0" xfId="0" applyNumberFormat="1" applyFont="1" applyBorder="1" applyAlignment="1">
      <alignment horizontal="right" vertical="center"/>
    </xf>
    <xf numFmtId="0" fontId="1" fillId="0" borderId="0" xfId="0" applyFont="1" applyBorder="1" applyAlignment="1">
      <alignmen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1" xfId="0" applyAlignment="1">
      <alignment horizontal="left" vertical="center"/>
    </xf>
    <xf numFmtId="0" fontId="20" fillId="0" borderId="0" xfId="0" applyFont="1" applyBorder="1" applyAlignment="1">
      <alignment horizontal="left" vertical="center"/>
    </xf>
    <xf numFmtId="0" fontId="0" fillId="9" borderId="0" xfId="0" applyFill="1" applyBorder="1" applyAlignment="1">
      <alignment horizontal="left" vertical="center"/>
    </xf>
    <xf numFmtId="0" fontId="21" fillId="0" borderId="7" xfId="0" applyFont="1" applyBorder="1" applyAlignment="1">
      <alignment horizontal="left" vertical="center"/>
    </xf>
    <xf numFmtId="0" fontId="0" fillId="0" borderId="5" xfId="0" applyBorder="1" applyAlignment="1">
      <alignment horizontal="left" vertical="center" wrapText="1"/>
    </xf>
    <xf numFmtId="0" fontId="0" fillId="5" borderId="5" xfId="0" applyFill="1" applyBorder="1" applyAlignment="1">
      <alignment horizontal="left" vertical="center" wrapText="1"/>
    </xf>
    <xf numFmtId="0" fontId="22" fillId="5" borderId="5" xfId="0" applyFont="1" applyFill="1" applyBorder="1" applyAlignment="1">
      <alignment horizontal="left" vertical="center" wrapText="1"/>
    </xf>
    <xf numFmtId="0" fontId="0" fillId="0" borderId="17" xfId="0" applyBorder="1" applyAlignment="1">
      <alignment horizontal="left" vertical="center" wrapText="1"/>
    </xf>
    <xf numFmtId="0" fontId="22" fillId="0" borderId="19" xfId="0" applyFont="1" applyBorder="1" applyAlignment="1">
      <alignment horizontal="left" vertical="center" wrapText="1"/>
    </xf>
    <xf numFmtId="0" fontId="0" fillId="0" borderId="20" xfId="0" applyBorder="1" applyAlignment="1">
      <alignment horizontal="left" vertical="center"/>
    </xf>
    <xf numFmtId="0" fontId="0" fillId="0" borderId="16" xfId="0" applyBorder="1" applyAlignment="1">
      <alignment horizontal="left" vertical="center"/>
    </xf>
    <xf numFmtId="0" fontId="0" fillId="0" borderId="18" xfId="0" applyBorder="1" applyAlignment="1">
      <alignment horizontal="left" vertical="center" wrapText="1"/>
    </xf>
    <xf numFmtId="0" fontId="22" fillId="0" borderId="21" xfId="0" applyFont="1" applyBorder="1" applyAlignment="1">
      <alignment horizontal="left" vertical="center" wrapText="1"/>
    </xf>
    <xf numFmtId="0" fontId="22" fillId="0" borderId="0" xfId="0" applyFont="1" applyBorder="1" applyAlignment="1">
      <alignment horizontal="left" vertical="center" wrapText="1"/>
    </xf>
    <xf numFmtId="0" fontId="3" fillId="0" borderId="10" xfId="0" applyFont="1" applyBorder="1" applyAlignment="1">
      <alignment horizontal="left" vertical="center"/>
    </xf>
    <xf numFmtId="0" fontId="16" fillId="10" borderId="2" xfId="0" applyFont="1" applyFill="1" applyBorder="1" applyAlignment="1">
      <alignment horizontal="left" vertical="center"/>
    </xf>
    <xf numFmtId="0" fontId="0" fillId="0" borderId="2" xfId="0" applyBorder="1" applyAlignment="1">
      <alignment horizontal="left" vertical="center"/>
    </xf>
    <xf numFmtId="0" fontId="23" fillId="0" borderId="2" xfId="0" applyFont="1" applyBorder="1" applyAlignment="1">
      <alignment horizontal="left" vertical="center"/>
    </xf>
    <xf numFmtId="0" fontId="23" fillId="0" borderId="31" xfId="0" applyFont="1" applyAlignment="1">
      <alignment horizontal="left" vertical="center"/>
    </xf>
    <xf numFmtId="0" fontId="32" fillId="0" borderId="0" xfId="0" applyFont="1" applyBorder="1" applyAlignment="1">
      <alignment horizontal="left" vertical="center" wrapText="1"/>
    </xf>
    <xf numFmtId="0" fontId="32" fillId="0" borderId="0" xfId="0" applyFont="1" applyBorder="1" applyAlignment="1">
      <alignment vertical="center" wrapText="1"/>
    </xf>
    <xf numFmtId="0" fontId="0" fillId="0" borderId="31" xfId="0" applyAlignment="1">
      <alignment horizontal="right" vertical="center"/>
    </xf>
    <xf numFmtId="172" fontId="0" fillId="0" borderId="31" xfId="0" applyNumberFormat="1" applyAlignment="1">
      <alignment vertical="center"/>
    </xf>
    <xf numFmtId="0" fontId="0" fillId="27" borderId="0" xfId="0" applyFill="1" applyBorder="1" applyAlignment="1">
      <alignment vertical="center"/>
    </xf>
    <xf numFmtId="0" fontId="0" fillId="0" borderId="27" xfId="0" applyBorder="1" applyAlignment="1">
      <alignment horizontal="center" vertical="center"/>
    </xf>
    <xf numFmtId="0" fontId="16" fillId="0" borderId="0" xfId="0" applyFont="1" applyBorder="1" applyAlignment="1">
      <alignment vertical="center"/>
    </xf>
    <xf numFmtId="0" fontId="9" fillId="22" borderId="0" xfId="0" applyFont="1" applyFill="1" applyBorder="1" applyAlignment="1">
      <alignment horizontal="left" vertical="center"/>
    </xf>
    <xf numFmtId="0" fontId="0" fillId="26" borderId="26" xfId="0" applyFill="1" applyBorder="1" applyAlignment="1">
      <alignment vertical="center" wrapText="1"/>
    </xf>
    <xf numFmtId="0" fontId="9" fillId="22" borderId="24" xfId="0" applyFont="1" applyFill="1" applyBorder="1" applyAlignment="1">
      <alignment horizontal="right" vertical="center" wrapText="1"/>
    </xf>
    <xf numFmtId="0" fontId="9" fillId="22" borderId="24" xfId="0" applyFont="1" applyFill="1" applyBorder="1" applyAlignment="1">
      <alignment horizontal="center" vertical="center"/>
    </xf>
    <xf numFmtId="0" fontId="0" fillId="0" borderId="26" xfId="0" applyBorder="1" applyAlignment="1">
      <alignment vertical="center"/>
    </xf>
    <xf numFmtId="0" fontId="9" fillId="22" borderId="26" xfId="0" applyFont="1" applyFill="1" applyBorder="1" applyAlignment="1">
      <alignment vertical="center"/>
    </xf>
    <xf numFmtId="0" fontId="9" fillId="23" borderId="29" xfId="0" applyFont="1" applyFill="1" applyBorder="1" applyAlignment="1">
      <alignment vertical="center"/>
    </xf>
    <xf numFmtId="0" fontId="0" fillId="0" borderId="29" xfId="0" applyBorder="1" applyAlignment="1">
      <alignment vertical="center"/>
    </xf>
    <xf numFmtId="0" fontId="9" fillId="22" borderId="24" xfId="0" applyFont="1" applyFill="1" applyBorder="1" applyAlignment="1">
      <alignment horizontal="right" vertical="center"/>
    </xf>
    <xf numFmtId="0" fontId="9" fillId="22" borderId="25" xfId="0" applyFont="1" applyFill="1" applyBorder="1" applyAlignment="1">
      <alignment horizontal="right" vertical="center"/>
    </xf>
    <xf numFmtId="0" fontId="33" fillId="22" borderId="24" xfId="0" applyFont="1" applyFill="1" applyBorder="1" applyAlignment="1">
      <alignment horizontal="center" vertical="center"/>
    </xf>
    <xf numFmtId="0" fontId="9" fillId="22" borderId="27" xfId="0" applyFont="1" applyFill="1" applyBorder="1" applyAlignment="1">
      <alignment horizontal="center" vertical="center"/>
    </xf>
    <xf numFmtId="0" fontId="9" fillId="23" borderId="30" xfId="0" applyFont="1" applyFill="1" applyBorder="1" applyAlignment="1">
      <alignment horizontal="center" vertical="center"/>
    </xf>
    <xf numFmtId="0" fontId="0" fillId="0" borderId="30" xfId="0" applyBorder="1" applyAlignment="1">
      <alignment horizontal="center" vertical="center"/>
    </xf>
    <xf numFmtId="0" fontId="9" fillId="22" borderId="23" xfId="0" applyFont="1" applyFill="1" applyBorder="1" applyAlignment="1">
      <alignment horizontal="left" vertical="center"/>
    </xf>
    <xf numFmtId="0" fontId="9" fillId="22" borderId="23" xfId="0" applyFont="1" applyFill="1" applyBorder="1" applyAlignment="1">
      <alignment horizontal="center" vertical="center"/>
    </xf>
    <xf numFmtId="0" fontId="9" fillId="22" borderId="25" xfId="0" applyFont="1" applyFill="1" applyBorder="1" applyAlignment="1">
      <alignment horizontal="center" vertical="center"/>
    </xf>
    <xf numFmtId="0" fontId="9" fillId="22" borderId="27" xfId="0" applyFont="1" applyFill="1" applyBorder="1" applyAlignment="1">
      <alignment vertical="center"/>
    </xf>
    <xf numFmtId="0" fontId="9" fillId="22" borderId="23" xfId="0" applyFont="1" applyFill="1" applyBorder="1" applyAlignment="1">
      <alignment vertical="center"/>
    </xf>
    <xf numFmtId="0" fontId="0" fillId="0" borderId="27" xfId="0" applyBorder="1" applyAlignment="1">
      <alignment vertical="center"/>
    </xf>
    <xf numFmtId="164" fontId="0" fillId="0" borderId="28" xfId="0" applyNumberFormat="1" applyBorder="1" applyAlignment="1">
      <alignment vertical="center"/>
    </xf>
    <xf numFmtId="0" fontId="9" fillId="23" borderId="26" xfId="0" applyFont="1" applyFill="1" applyBorder="1" applyAlignment="1">
      <alignment vertical="center"/>
    </xf>
    <xf numFmtId="0" fontId="9" fillId="23" borderId="27" xfId="0" applyFont="1" applyFill="1" applyBorder="1" applyAlignment="1">
      <alignment vertical="center"/>
    </xf>
    <xf numFmtId="0" fontId="9" fillId="22" borderId="29" xfId="0" applyFont="1" applyFill="1" applyBorder="1" applyAlignment="1">
      <alignment vertical="center"/>
    </xf>
    <xf numFmtId="164" fontId="0" fillId="0" borderId="27" xfId="0" applyNumberFormat="1" applyBorder="1" applyAlignment="1">
      <alignment horizontal="right" vertical="center"/>
    </xf>
    <xf numFmtId="164" fontId="0" fillId="0" borderId="28" xfId="0" applyNumberFormat="1" applyBorder="1" applyAlignment="1">
      <alignment horizontal="right" vertical="center"/>
    </xf>
    <xf numFmtId="0" fontId="9" fillId="22" borderId="30" xfId="0" applyFont="1" applyFill="1" applyBorder="1" applyAlignment="1">
      <alignment vertical="center"/>
    </xf>
    <xf numFmtId="0" fontId="9" fillId="23" borderId="32" xfId="0" applyFont="1" applyFill="1" applyBorder="1" applyAlignment="1">
      <alignment vertical="center"/>
    </xf>
    <xf numFmtId="0" fontId="9" fillId="23" borderId="33" xfId="0" applyFont="1" applyFill="1" applyBorder="1" applyAlignment="1">
      <alignment vertical="center"/>
    </xf>
    <xf numFmtId="0" fontId="30" fillId="24" borderId="26" xfId="0" applyFont="1" applyFill="1" applyBorder="1" applyAlignment="1">
      <alignment vertical="center"/>
    </xf>
    <xf numFmtId="0" fontId="30" fillId="24" borderId="27" xfId="0" applyFont="1" applyFill="1" applyBorder="1" applyAlignment="1">
      <alignment vertical="center"/>
    </xf>
    <xf numFmtId="0" fontId="9" fillId="22" borderId="32" xfId="0" applyFont="1" applyFill="1" applyBorder="1" applyAlignment="1">
      <alignment vertical="center"/>
    </xf>
    <xf numFmtId="0" fontId="9" fillId="22" borderId="33" xfId="0" applyFont="1" applyFill="1" applyBorder="1" applyAlignment="1">
      <alignment vertical="center"/>
    </xf>
    <xf numFmtId="0" fontId="9" fillId="25" borderId="29" xfId="0" applyFont="1" applyFill="1" applyBorder="1" applyAlignment="1">
      <alignment vertical="center"/>
    </xf>
    <xf numFmtId="0" fontId="9" fillId="25" borderId="30" xfId="0" applyFont="1" applyFill="1" applyBorder="1" applyAlignment="1">
      <alignment vertical="center"/>
    </xf>
    <xf numFmtId="166" fontId="16" fillId="0" borderId="0" xfId="0" applyNumberFormat="1" applyFont="1" applyBorder="1" applyAlignment="1">
      <alignment vertical="center"/>
    </xf>
    <xf numFmtId="37" fontId="16" fillId="0" borderId="0" xfId="0" applyNumberFormat="1" applyFont="1" applyBorder="1" applyAlignment="1">
      <alignment vertical="center" wrapText="1"/>
    </xf>
    <xf numFmtId="37" fontId="16" fillId="14" borderId="0" xfId="0" applyNumberFormat="1" applyFont="1" applyFill="1" applyBorder="1" applyAlignment="1">
      <alignment vertical="center" wrapText="1"/>
    </xf>
    <xf numFmtId="166" fontId="31" fillId="15" borderId="0" xfId="0" applyNumberFormat="1" applyFont="1" applyFill="1" applyBorder="1" applyAlignment="1">
      <alignment vertical="center"/>
    </xf>
    <xf numFmtId="166" fontId="9" fillId="15" borderId="0" xfId="0" applyNumberFormat="1" applyFont="1" applyFill="1" applyBorder="1" applyAlignment="1">
      <alignment vertical="center"/>
    </xf>
    <xf numFmtId="166" fontId="9" fillId="23" borderId="0" xfId="0" applyNumberFormat="1" applyFont="1" applyFill="1" applyBorder="1" applyAlignment="1">
      <alignment vertical="center"/>
    </xf>
    <xf numFmtId="166" fontId="17" fillId="0" borderId="0" xfId="0" applyNumberFormat="1" applyFont="1" applyBorder="1" applyAlignment="1">
      <alignment vertical="center"/>
    </xf>
    <xf numFmtId="166" fontId="29" fillId="23" borderId="22" xfId="0" applyNumberFormat="1" applyFont="1" applyFill="1" applyBorder="1" applyAlignment="1">
      <alignment vertical="center"/>
    </xf>
    <xf numFmtId="166" fontId="0" fillId="5" borderId="0" xfId="0" applyNumberFormat="1" applyFill="1" applyBorder="1" applyAlignment="1">
      <alignment vertical="center"/>
    </xf>
    <xf numFmtId="166" fontId="9" fillId="15" borderId="22" xfId="0" applyNumberFormat="1" applyFont="1" applyFill="1" applyBorder="1" applyAlignment="1">
      <alignment vertical="center"/>
    </xf>
    <xf numFmtId="166" fontId="9" fillId="25" borderId="0" xfId="0" applyNumberFormat="1" applyFont="1" applyFill="1" applyBorder="1" applyAlignment="1">
      <alignment vertical="center"/>
    </xf>
    <xf numFmtId="166" fontId="29" fillId="15" borderId="0" xfId="0" applyNumberFormat="1" applyFont="1" applyFill="1" applyBorder="1" applyAlignment="1">
      <alignment horizontal="right" vertical="center"/>
    </xf>
    <xf numFmtId="166" fontId="9" fillId="15" borderId="0" xfId="0" applyNumberFormat="1" applyFont="1" applyFill="1" applyBorder="1" applyAlignment="1">
      <alignment horizontal="right" vertical="center"/>
    </xf>
    <xf numFmtId="166" fontId="0" fillId="0" borderId="0" xfId="0" applyNumberFormat="1" applyBorder="1" applyAlignment="1">
      <alignment horizontal="right" vertical="center"/>
    </xf>
    <xf numFmtId="166" fontId="9" fillId="23" borderId="0" xfId="0" applyNumberFormat="1" applyFont="1" applyFill="1" applyBorder="1" applyAlignment="1">
      <alignment horizontal="right" vertical="center"/>
    </xf>
    <xf numFmtId="166" fontId="16" fillId="0" borderId="0" xfId="0" applyNumberFormat="1" applyFont="1" applyBorder="1" applyAlignment="1">
      <alignment horizontal="right" vertical="center"/>
    </xf>
    <xf numFmtId="2" fontId="3" fillId="28" borderId="2" xfId="0" applyNumberFormat="1" applyFont="1" applyFill="1" applyBorder="1" applyAlignment="1">
      <alignment vertical="center"/>
    </xf>
    <xf numFmtId="0" fontId="35" fillId="0" borderId="0" xfId="0" applyFont="1" applyBorder="1"/>
    <xf numFmtId="0" fontId="35" fillId="0" borderId="0" xfId="0" applyFont="1" applyBorder="1" applyAlignment="1">
      <alignment vertical="center"/>
    </xf>
    <xf numFmtId="0" fontId="34" fillId="0" borderId="0" xfId="0" applyFont="1" applyBorder="1" applyAlignment="1">
      <alignment horizontal="center" vertical="center"/>
    </xf>
    <xf numFmtId="0" fontId="3" fillId="0" borderId="1" xfId="0" applyFont="1" applyBorder="1" applyAlignment="1">
      <alignment horizontal="left" vertical="center"/>
    </xf>
    <xf numFmtId="0" fontId="6" fillId="19" borderId="1" xfId="0" applyFont="1" applyFill="1" applyBorder="1" applyAlignment="1">
      <alignment horizontal="left" vertical="center"/>
    </xf>
    <xf numFmtId="0" fontId="3" fillId="0" borderId="4" xfId="0" applyFont="1" applyBorder="1" applyAlignment="1">
      <alignment horizontal="left" vertical="center"/>
    </xf>
    <xf numFmtId="0" fontId="35" fillId="0" borderId="0" xfId="0" applyFont="1" applyBorder="1" applyAlignment="1">
      <alignment horizontal="left" vertical="center"/>
    </xf>
    <xf numFmtId="0" fontId="34" fillId="0" borderId="0" xfId="0" applyFont="1" applyBorder="1" applyAlignment="1">
      <alignment horizontal="left" vertical="center"/>
    </xf>
    <xf numFmtId="0" fontId="35" fillId="4" borderId="1" xfId="0" applyFont="1" applyFill="1" applyBorder="1" applyAlignment="1">
      <alignment horizontal="left" vertical="center"/>
    </xf>
    <xf numFmtId="0" fontId="35" fillId="0" borderId="0" xfId="0" applyFont="1" applyBorder="1" applyAlignment="1">
      <alignment horizontal="left"/>
    </xf>
    <xf numFmtId="0" fontId="12" fillId="0" borderId="0" xfId="0" applyFont="1" applyBorder="1" applyAlignment="1">
      <alignment horizontal="left" vertical="center"/>
    </xf>
    <xf numFmtId="0" fontId="12" fillId="4" borderId="1" xfId="0" applyFont="1" applyFill="1" applyBorder="1" applyAlignment="1">
      <alignment horizontal="left" vertical="center"/>
    </xf>
    <xf numFmtId="0" fontId="0" fillId="4" borderId="1" xfId="0" applyFill="1" applyBorder="1" applyAlignment="1">
      <alignment horizontal="left" vertical="center"/>
    </xf>
    <xf numFmtId="0" fontId="3" fillId="4" borderId="1" xfId="0" applyFont="1" applyFill="1" applyBorder="1" applyAlignment="1">
      <alignment horizontal="left" vertical="center"/>
    </xf>
    <xf numFmtId="0" fontId="3" fillId="19" borderId="1" xfId="0" applyFont="1" applyFill="1" applyBorder="1" applyAlignment="1">
      <alignment horizontal="left" vertical="center"/>
    </xf>
    <xf numFmtId="0" fontId="34" fillId="0" borderId="0" xfId="0" applyFont="1" applyBorder="1" applyAlignment="1">
      <alignment horizontal="right" vertical="center"/>
    </xf>
    <xf numFmtId="0" fontId="34" fillId="0" borderId="1" xfId="0" applyFont="1" applyBorder="1" applyAlignment="1">
      <alignment vertical="center" wrapText="1"/>
    </xf>
    <xf numFmtId="0" fontId="36" fillId="0" borderId="0" xfId="0" applyFont="1" applyBorder="1" applyAlignment="1">
      <alignment horizontal="left" vertical="center"/>
    </xf>
    <xf numFmtId="172" fontId="0" fillId="0" borderId="0" xfId="0" applyNumberFormat="1" applyBorder="1"/>
    <xf numFmtId="172" fontId="0" fillId="0" borderId="31" xfId="0" applyNumberFormat="1"/>
    <xf numFmtId="0" fontId="6" fillId="19" borderId="14" xfId="0" applyFont="1" applyFill="1" applyBorder="1" applyAlignment="1">
      <alignment horizontal="right" vertical="center"/>
    </xf>
    <xf numFmtId="0" fontId="9" fillId="0" borderId="12" xfId="0" applyFont="1" applyBorder="1" applyAlignment="1">
      <alignment vertical="center"/>
    </xf>
    <xf numFmtId="3" fontId="0" fillId="0" borderId="12" xfId="0" applyNumberFormat="1" applyBorder="1" applyAlignment="1">
      <alignment vertical="center"/>
    </xf>
    <xf numFmtId="0" fontId="4" fillId="0" borderId="12" xfId="0" applyFont="1" applyBorder="1" applyAlignment="1">
      <alignment vertical="center"/>
    </xf>
    <xf numFmtId="10" fontId="0" fillId="0" borderId="31" xfId="0" applyNumberFormat="1" applyAlignment="1">
      <alignment horizontal="right" vertical="center"/>
    </xf>
    <xf numFmtId="0" fontId="3" fillId="0" borderId="12" xfId="0" applyFont="1" applyBorder="1" applyAlignment="1">
      <alignment vertical="center"/>
    </xf>
    <xf numFmtId="10" fontId="9" fillId="0" borderId="12" xfId="0" applyNumberFormat="1" applyFont="1" applyBorder="1" applyAlignment="1">
      <alignment vertical="center"/>
    </xf>
    <xf numFmtId="0" fontId="12" fillId="0" borderId="12" xfId="0" applyFont="1" applyBorder="1" applyAlignment="1">
      <alignment vertical="center"/>
    </xf>
    <xf numFmtId="9" fontId="0" fillId="0" borderId="0" xfId="0" applyNumberFormat="1" applyBorder="1" applyAlignment="1">
      <alignment vertical="center"/>
    </xf>
    <xf numFmtId="0" fontId="33" fillId="0" borderId="31" xfId="0" applyFont="1" applyAlignment="1">
      <alignment vertical="center"/>
    </xf>
    <xf numFmtId="0" fontId="27" fillId="0" borderId="0" xfId="0" applyFont="1" applyBorder="1" applyAlignment="1">
      <alignment vertical="center"/>
    </xf>
    <xf numFmtId="0" fontId="33" fillId="0" borderId="0" xfId="0" applyFont="1" applyBorder="1" applyAlignment="1">
      <alignment vertical="center"/>
    </xf>
    <xf numFmtId="0" fontId="39" fillId="0" borderId="0" xfId="0" applyFont="1" applyBorder="1" applyAlignment="1">
      <alignment vertical="center"/>
    </xf>
    <xf numFmtId="178" fontId="39" fillId="0" borderId="12" xfId="0" applyNumberFormat="1" applyFont="1" applyBorder="1" applyAlignment="1">
      <alignment vertical="center"/>
    </xf>
    <xf numFmtId="0" fontId="39" fillId="0" borderId="12" xfId="0" applyFont="1" applyBorder="1" applyAlignment="1">
      <alignment vertical="center"/>
    </xf>
    <xf numFmtId="3" fontId="39" fillId="0" borderId="12" xfId="0" applyNumberFormat="1" applyFont="1" applyBorder="1" applyAlignment="1">
      <alignment vertical="center"/>
    </xf>
    <xf numFmtId="173" fontId="39" fillId="0" borderId="0" xfId="0" applyNumberFormat="1" applyFont="1" applyBorder="1" applyAlignment="1">
      <alignment vertical="center"/>
    </xf>
    <xf numFmtId="0" fontId="38" fillId="0" borderId="12" xfId="0" applyFont="1" applyBorder="1" applyAlignment="1">
      <alignment vertical="center"/>
    </xf>
    <xf numFmtId="3" fontId="38" fillId="0" borderId="12" xfId="0" applyNumberFormat="1" applyFont="1" applyBorder="1" applyAlignment="1">
      <alignment vertical="center"/>
    </xf>
    <xf numFmtId="0" fontId="38" fillId="29" borderId="12" xfId="0" applyFont="1" applyFill="1" applyBorder="1" applyAlignment="1">
      <alignment vertical="center"/>
    </xf>
    <xf numFmtId="3" fontId="38" fillId="29" borderId="12" xfId="0" applyNumberFormat="1" applyFont="1" applyFill="1" applyBorder="1" applyAlignment="1">
      <alignment vertical="center"/>
    </xf>
    <xf numFmtId="0" fontId="9" fillId="29" borderId="34" xfId="0" applyFont="1" applyFill="1" applyBorder="1" applyAlignment="1">
      <alignment vertical="center"/>
    </xf>
    <xf numFmtId="165" fontId="9" fillId="29" borderId="35" xfId="0" applyNumberFormat="1" applyFont="1" applyFill="1" applyBorder="1" applyAlignment="1">
      <alignment vertical="center"/>
    </xf>
    <xf numFmtId="0" fontId="38" fillId="0" borderId="31" xfId="0" applyFont="1" applyAlignment="1">
      <alignment vertical="center" wrapText="1"/>
    </xf>
    <xf numFmtId="0" fontId="40" fillId="0" borderId="0" xfId="0" applyFont="1" applyBorder="1" applyAlignment="1">
      <alignment vertical="center"/>
    </xf>
    <xf numFmtId="0" fontId="41" fillId="0" borderId="0" xfId="0" applyFont="1" applyBorder="1" applyAlignment="1">
      <alignment vertical="center"/>
    </xf>
    <xf numFmtId="14" fontId="12" fillId="0" borderId="0" xfId="0" applyNumberFormat="1" applyFont="1" applyBorder="1" applyAlignment="1">
      <alignment horizontal="right" vertical="center"/>
    </xf>
    <xf numFmtId="14" fontId="12" fillId="0" borderId="0" xfId="0" applyNumberFormat="1" applyFont="1" applyBorder="1" applyAlignment="1">
      <alignment vertical="center"/>
    </xf>
    <xf numFmtId="0" fontId="4" fillId="0" borderId="4" xfId="0" applyFont="1" applyBorder="1" applyAlignment="1">
      <alignment horizontal="right" vertical="center"/>
    </xf>
    <xf numFmtId="166" fontId="4" fillId="0" borderId="4" xfId="0" applyNumberFormat="1" applyFont="1" applyBorder="1" applyAlignment="1">
      <alignment vertical="center"/>
    </xf>
    <xf numFmtId="0" fontId="3" fillId="0" borderId="13" xfId="0" applyFont="1" applyBorder="1" applyAlignment="1">
      <alignment vertical="center"/>
    </xf>
    <xf numFmtId="0" fontId="26" fillId="0" borderId="0" xfId="0" applyFont="1" applyBorder="1" applyAlignment="1">
      <alignment vertical="center"/>
    </xf>
    <xf numFmtId="172" fontId="7" fillId="0" borderId="0" xfId="0" applyNumberFormat="1" applyFont="1" applyBorder="1" applyAlignment="1">
      <alignment vertical="center"/>
    </xf>
    <xf numFmtId="166" fontId="12" fillId="0" borderId="0" xfId="0" applyNumberFormat="1" applyFont="1" applyBorder="1" applyAlignment="1">
      <alignment vertical="center"/>
    </xf>
    <xf numFmtId="164" fontId="4" fillId="0" borderId="4" xfId="0" applyNumberFormat="1" applyFont="1" applyBorder="1" applyAlignment="1">
      <alignment vertical="center"/>
    </xf>
    <xf numFmtId="171" fontId="0" fillId="0" borderId="0" xfId="0" applyNumberFormat="1" applyBorder="1" applyAlignment="1">
      <alignment horizontal="right" vertical="center"/>
    </xf>
    <xf numFmtId="0" fontId="0" fillId="0" borderId="12" xfId="0" applyBorder="1" applyAlignment="1">
      <alignment horizontal="right" vertical="center"/>
    </xf>
    <xf numFmtId="0" fontId="9" fillId="0" borderId="12" xfId="0" applyFont="1" applyBorder="1" applyAlignment="1">
      <alignment horizontal="right" vertical="center"/>
    </xf>
    <xf numFmtId="0" fontId="12" fillId="0" borderId="12" xfId="0" applyFont="1" applyBorder="1" applyAlignment="1">
      <alignment horizontal="right" vertical="center"/>
    </xf>
    <xf numFmtId="166" fontId="12" fillId="0" borderId="12" xfId="0" applyNumberFormat="1" applyFont="1" applyBorder="1" applyAlignment="1">
      <alignment horizontal="right" vertical="center"/>
    </xf>
    <xf numFmtId="166" fontId="9" fillId="0" borderId="12" xfId="0" applyNumberFormat="1" applyFont="1" applyBorder="1" applyAlignment="1">
      <alignment horizontal="right" vertical="center"/>
    </xf>
    <xf numFmtId="0" fontId="18" fillId="0" borderId="31" xfId="0" applyFont="1" applyAlignment="1">
      <alignment horizontal="right" vertical="center"/>
    </xf>
    <xf numFmtId="166" fontId="18" fillId="0" borderId="31" xfId="0" applyNumberFormat="1" applyFont="1" applyAlignment="1">
      <alignment horizontal="right" vertical="center"/>
    </xf>
    <xf numFmtId="166" fontId="0" fillId="0" borderId="12" xfId="0" applyNumberFormat="1" applyBorder="1" applyAlignment="1">
      <alignment horizontal="right" vertical="center"/>
    </xf>
    <xf numFmtId="0" fontId="12" fillId="0" borderId="31" xfId="0" applyFont="1" applyAlignment="1">
      <alignment horizontal="right" vertical="center"/>
    </xf>
    <xf numFmtId="166" fontId="12" fillId="0" borderId="31" xfId="0" applyNumberFormat="1" applyFont="1" applyAlignment="1">
      <alignment horizontal="right" vertical="center"/>
    </xf>
    <xf numFmtId="10" fontId="30" fillId="0" borderId="31" xfId="2" applyNumberFormat="1" applyAlignment="1">
      <alignment vertical="center"/>
    </xf>
    <xf numFmtId="0" fontId="18" fillId="0" borderId="12" xfId="0" applyFont="1" applyBorder="1" applyAlignment="1">
      <alignment vertical="center"/>
    </xf>
    <xf numFmtId="0" fontId="33" fillId="0" borderId="12" xfId="0" applyFont="1" applyBorder="1" applyAlignment="1">
      <alignment horizontal="right" vertical="center"/>
    </xf>
    <xf numFmtId="166" fontId="33" fillId="0" borderId="12" xfId="0" applyNumberFormat="1" applyFont="1" applyBorder="1" applyAlignment="1">
      <alignment horizontal="right" vertical="center"/>
    </xf>
    <xf numFmtId="0" fontId="39" fillId="0" borderId="0" xfId="0" applyFont="1" applyBorder="1" applyAlignment="1">
      <alignment horizontal="right" vertical="center"/>
    </xf>
    <xf numFmtId="0" fontId="9" fillId="29" borderId="0" xfId="0" applyFont="1" applyFill="1" applyBorder="1" applyAlignment="1">
      <alignment vertical="center"/>
    </xf>
    <xf numFmtId="0" fontId="9" fillId="29" borderId="0" xfId="0" applyFont="1" applyFill="1" applyBorder="1" applyAlignment="1">
      <alignment horizontal="right" vertical="center"/>
    </xf>
    <xf numFmtId="166" fontId="9" fillId="29" borderId="0" xfId="0" applyNumberFormat="1" applyFont="1" applyFill="1" applyBorder="1" applyAlignment="1">
      <alignment vertical="center"/>
    </xf>
    <xf numFmtId="172" fontId="7" fillId="29" borderId="0" xfId="0" applyNumberFormat="1" applyFont="1" applyFill="1" applyBorder="1" applyAlignment="1">
      <alignment vertical="center"/>
    </xf>
    <xf numFmtId="164" fontId="0" fillId="0" borderId="36" xfId="0" applyNumberFormat="1" applyBorder="1" applyAlignment="1">
      <alignment vertical="center"/>
    </xf>
    <xf numFmtId="164" fontId="3" fillId="18" borderId="31" xfId="0" applyNumberFormat="1" applyFont="1" applyFill="1" applyAlignment="1">
      <alignment horizontal="right" vertical="center"/>
    </xf>
    <xf numFmtId="171" fontId="3" fillId="18" borderId="31" xfId="0" applyNumberFormat="1" applyFont="1" applyFill="1" applyAlignment="1">
      <alignment horizontal="right" vertical="center"/>
    </xf>
    <xf numFmtId="3" fontId="16" fillId="10" borderId="2" xfId="0" applyNumberFormat="1" applyFont="1" applyFill="1" applyBorder="1" applyAlignment="1">
      <alignment horizontal="right" vertical="center"/>
    </xf>
    <xf numFmtId="164" fontId="16" fillId="10" borderId="2" xfId="0" applyNumberFormat="1" applyFont="1" applyFill="1" applyBorder="1" applyAlignment="1">
      <alignment horizontal="right" vertical="center"/>
    </xf>
    <xf numFmtId="0" fontId="0" fillId="30" borderId="34" xfId="0" applyFill="1" applyBorder="1" applyAlignment="1">
      <alignment vertical="center"/>
    </xf>
    <xf numFmtId="0" fontId="33" fillId="30" borderId="37" xfId="0" applyFont="1" applyFill="1" applyBorder="1" applyAlignment="1">
      <alignment horizontal="right" vertical="center"/>
    </xf>
    <xf numFmtId="166" fontId="33" fillId="30" borderId="35" xfId="0" applyNumberFormat="1" applyFont="1" applyFill="1" applyBorder="1" applyAlignment="1">
      <alignment horizontal="right" vertical="center"/>
    </xf>
    <xf numFmtId="166" fontId="38" fillId="29" borderId="0" xfId="0" applyNumberFormat="1" applyFont="1" applyFill="1" applyBorder="1" applyAlignment="1">
      <alignment vertical="center"/>
    </xf>
    <xf numFmtId="166" fontId="38" fillId="0" borderId="0" xfId="0" applyNumberFormat="1" applyFont="1" applyBorder="1" applyAlignment="1">
      <alignment vertical="center"/>
    </xf>
    <xf numFmtId="166" fontId="0" fillId="0" borderId="31" xfId="0" applyNumberFormat="1" applyAlignment="1">
      <alignment vertical="center"/>
    </xf>
    <xf numFmtId="0" fontId="42" fillId="0" borderId="0" xfId="0" applyFont="1" applyBorder="1" applyAlignment="1">
      <alignment vertical="center"/>
    </xf>
    <xf numFmtId="164" fontId="38" fillId="0" borderId="31" xfId="2" applyNumberFormat="1" applyFont="1" applyAlignment="1">
      <alignment vertical="center"/>
    </xf>
    <xf numFmtId="0" fontId="38" fillId="12" borderId="8" xfId="0" applyFont="1" applyFill="1" applyBorder="1" applyAlignment="1">
      <alignment vertical="center"/>
    </xf>
    <xf numFmtId="0" fontId="39" fillId="0" borderId="0" xfId="0" applyFont="1" applyBorder="1" applyAlignment="1">
      <alignment horizontal="left" vertical="center"/>
    </xf>
    <xf numFmtId="0" fontId="38" fillId="16" borderId="0" xfId="0" applyFont="1" applyFill="1" applyBorder="1" applyAlignment="1">
      <alignment horizontal="left" vertical="center"/>
    </xf>
    <xf numFmtId="0" fontId="6" fillId="31" borderId="10" xfId="0" applyFont="1" applyFill="1" applyBorder="1" applyAlignment="1">
      <alignment vertical="center"/>
    </xf>
    <xf numFmtId="0" fontId="43" fillId="31" borderId="0" xfId="0" applyFont="1" applyFill="1" applyBorder="1" applyAlignment="1">
      <alignment horizontal="left" vertical="center"/>
    </xf>
    <xf numFmtId="0" fontId="43" fillId="31" borderId="0" xfId="0" applyFont="1" applyFill="1" applyBorder="1" applyAlignment="1">
      <alignment horizontal="right" vertical="center"/>
    </xf>
    <xf numFmtId="166" fontId="43" fillId="31" borderId="0" xfId="0" applyNumberFormat="1" applyFont="1" applyFill="1" applyBorder="1" applyAlignment="1">
      <alignment horizontal="right" vertical="center"/>
    </xf>
    <xf numFmtId="183" fontId="38" fillId="3" borderId="0" xfId="0" applyNumberFormat="1" applyFont="1" applyFill="1" applyBorder="1" applyAlignment="1">
      <alignment horizontal="right" vertical="center"/>
    </xf>
    <xf numFmtId="0" fontId="44" fillId="29" borderId="0" xfId="0" applyFont="1" applyFill="1" applyBorder="1" applyAlignment="1">
      <alignment horizontal="left" vertical="center"/>
    </xf>
    <xf numFmtId="0" fontId="44" fillId="29" borderId="8" xfId="0" applyFont="1" applyFill="1" applyBorder="1" applyAlignment="1">
      <alignment horizontal="right" vertical="center"/>
    </xf>
    <xf numFmtId="166" fontId="44" fillId="29" borderId="0" xfId="0" applyNumberFormat="1" applyFont="1" applyFill="1" applyBorder="1" applyAlignment="1">
      <alignment vertical="center"/>
    </xf>
    <xf numFmtId="0" fontId="38" fillId="29" borderId="8" xfId="0" applyFont="1" applyFill="1" applyBorder="1" applyAlignment="1">
      <alignment horizontal="left" vertical="center"/>
    </xf>
    <xf numFmtId="0" fontId="9" fillId="29" borderId="8" xfId="0" applyFont="1" applyFill="1" applyBorder="1" applyAlignment="1">
      <alignment horizontal="right" vertical="center"/>
    </xf>
    <xf numFmtId="166" fontId="9" fillId="29" borderId="8" xfId="0" applyNumberFormat="1" applyFont="1" applyFill="1" applyBorder="1" applyAlignment="1">
      <alignment vertical="center"/>
    </xf>
    <xf numFmtId="0" fontId="44" fillId="29" borderId="8" xfId="0" applyFont="1" applyFill="1" applyBorder="1" applyAlignment="1">
      <alignment horizontal="left" vertical="center"/>
    </xf>
    <xf numFmtId="166" fontId="44" fillId="29" borderId="8" xfId="0" applyNumberFormat="1" applyFont="1" applyFill="1" applyBorder="1" applyAlignment="1">
      <alignment vertical="center"/>
    </xf>
    <xf numFmtId="0" fontId="37" fillId="0" borderId="0" xfId="0" applyFont="1" applyBorder="1" applyAlignment="1">
      <alignment horizontal="left" vertical="center"/>
    </xf>
    <xf numFmtId="0" fontId="37" fillId="0" borderId="0" xfId="0" applyFont="1" applyBorder="1" applyAlignment="1">
      <alignment horizontal="right" vertical="center"/>
    </xf>
    <xf numFmtId="166" fontId="39" fillId="0" borderId="0" xfId="0" applyNumberFormat="1" applyFont="1" applyBorder="1" applyAlignment="1">
      <alignment vertical="center"/>
    </xf>
    <xf numFmtId="0" fontId="45" fillId="0" borderId="0" xfId="0" applyFont="1" applyBorder="1" applyAlignment="1">
      <alignment horizontal="left" vertical="center"/>
    </xf>
    <xf numFmtId="0" fontId="37" fillId="0" borderId="8" xfId="0" applyFont="1" applyBorder="1" applyAlignment="1">
      <alignment horizontal="left" vertical="center"/>
    </xf>
    <xf numFmtId="0" fontId="37" fillId="0" borderId="8" xfId="0" applyFont="1" applyBorder="1" applyAlignment="1">
      <alignment horizontal="right" vertical="center"/>
    </xf>
    <xf numFmtId="166" fontId="39" fillId="0" borderId="8" xfId="0" applyNumberFormat="1" applyFont="1" applyBorder="1" applyAlignment="1">
      <alignment vertical="center"/>
    </xf>
    <xf numFmtId="0" fontId="6" fillId="32" borderId="6" xfId="0" applyFont="1" applyFill="1" applyBorder="1" applyAlignment="1">
      <alignment horizontal="left" vertical="center"/>
    </xf>
    <xf numFmtId="0" fontId="43" fillId="32" borderId="4" xfId="0" applyFont="1" applyFill="1" applyBorder="1" applyAlignment="1">
      <alignment vertical="center"/>
    </xf>
    <xf numFmtId="0" fontId="46" fillId="32" borderId="4" xfId="0" applyFont="1" applyFill="1" applyBorder="1" applyAlignment="1">
      <alignment horizontal="right" vertical="center"/>
    </xf>
    <xf numFmtId="0" fontId="46" fillId="32" borderId="4" xfId="0" applyFont="1" applyFill="1" applyBorder="1" applyAlignment="1">
      <alignment vertical="center"/>
    </xf>
    <xf numFmtId="0" fontId="7" fillId="29" borderId="0" xfId="0" applyFont="1" applyFill="1" applyBorder="1" applyAlignment="1">
      <alignment vertical="center"/>
    </xf>
    <xf numFmtId="0" fontId="0" fillId="29" borderId="0" xfId="0" applyFill="1" applyBorder="1" applyAlignment="1">
      <alignment vertical="center"/>
    </xf>
    <xf numFmtId="0" fontId="3" fillId="29" borderId="0" xfId="0" applyFont="1" applyFill="1" applyBorder="1" applyAlignment="1">
      <alignment horizontal="right" vertical="center"/>
    </xf>
    <xf numFmtId="172" fontId="9" fillId="29" borderId="0" xfId="0" applyNumberFormat="1" applyFont="1" applyFill="1" applyBorder="1" applyAlignment="1">
      <alignment vertical="center"/>
    </xf>
    <xf numFmtId="172" fontId="38" fillId="29" borderId="0" xfId="0" applyNumberFormat="1" applyFont="1" applyFill="1" applyBorder="1"/>
    <xf numFmtId="172" fontId="47" fillId="29" borderId="0" xfId="0" applyNumberFormat="1" applyFont="1" applyFill="1" applyBorder="1" applyAlignment="1">
      <alignment vertical="center"/>
    </xf>
    <xf numFmtId="0" fontId="47" fillId="29" borderId="0" xfId="0" applyFont="1" applyFill="1" applyBorder="1" applyAlignment="1">
      <alignment vertical="center"/>
    </xf>
    <xf numFmtId="0" fontId="37" fillId="0" borderId="0" xfId="0" applyFont="1" applyBorder="1" applyAlignment="1">
      <alignment vertical="center"/>
    </xf>
    <xf numFmtId="0" fontId="47" fillId="29" borderId="0" xfId="0" applyFont="1" applyFill="1" applyBorder="1" applyAlignment="1">
      <alignment horizontal="right" vertical="center"/>
    </xf>
    <xf numFmtId="0" fontId="39" fillId="5" borderId="5" xfId="0" applyFont="1" applyFill="1" applyBorder="1" applyAlignment="1">
      <alignment horizontal="left" vertical="center" wrapText="1"/>
    </xf>
    <xf numFmtId="0" fontId="48" fillId="0" borderId="7" xfId="0" applyFont="1" applyBorder="1" applyAlignment="1">
      <alignment horizontal="left" vertical="center"/>
    </xf>
    <xf numFmtId="0" fontId="48" fillId="0" borderId="31" xfId="0" applyFont="1" applyAlignment="1">
      <alignment horizontal="left" vertical="center"/>
    </xf>
    <xf numFmtId="0" fontId="21" fillId="0" borderId="31" xfId="0" applyFont="1" applyAlignment="1">
      <alignment horizontal="left" vertical="center"/>
    </xf>
    <xf numFmtId="0" fontId="3" fillId="0" borderId="31" xfId="0" applyFont="1" applyAlignment="1">
      <alignment horizontal="left" vertical="center"/>
    </xf>
    <xf numFmtId="0" fontId="38" fillId="0" borderId="38" xfId="0" applyFont="1" applyBorder="1" applyAlignment="1">
      <alignment vertical="center"/>
    </xf>
    <xf numFmtId="0" fontId="0" fillId="0" borderId="31" xfId="0" applyAlignment="1">
      <alignment horizontal="left" vertical="center" wrapText="1"/>
    </xf>
    <xf numFmtId="172" fontId="3" fillId="3" borderId="39" xfId="0" applyNumberFormat="1" applyFont="1" applyFill="1" applyBorder="1" applyAlignment="1">
      <alignment vertical="center"/>
    </xf>
    <xf numFmtId="3" fontId="0" fillId="17" borderId="2" xfId="0" applyNumberFormat="1" applyFill="1" applyBorder="1" applyAlignment="1">
      <alignment vertical="center"/>
    </xf>
    <xf numFmtId="172" fontId="3" fillId="3" borderId="40" xfId="0" applyNumberFormat="1" applyFont="1" applyFill="1" applyBorder="1" applyAlignment="1">
      <alignment vertical="center"/>
    </xf>
    <xf numFmtId="172" fontId="0" fillId="17" borderId="40" xfId="0" applyNumberFormat="1" applyFill="1" applyBorder="1" applyAlignment="1">
      <alignment vertical="center"/>
    </xf>
    <xf numFmtId="0" fontId="0" fillId="0" borderId="5" xfId="0" applyBorder="1"/>
    <xf numFmtId="0" fontId="0" fillId="0" borderId="31" xfId="0" applyAlignment="1">
      <alignment horizontal="left"/>
    </xf>
    <xf numFmtId="0" fontId="0" fillId="19" borderId="31" xfId="0" applyFill="1" applyAlignment="1">
      <alignment horizontal="left" vertical="center"/>
    </xf>
    <xf numFmtId="0" fontId="0" fillId="0" borderId="31" xfId="0" applyAlignment="1">
      <alignment horizontal="left" vertical="center"/>
    </xf>
    <xf numFmtId="0" fontId="19" fillId="0" borderId="31" xfId="0" applyFont="1" applyAlignment="1">
      <alignment horizontal="left" vertical="center"/>
    </xf>
    <xf numFmtId="0" fontId="0" fillId="0" borderId="0" xfId="0" applyBorder="1" applyAlignment="1">
      <alignment horizontal="left" vertical="center" wrapText="1"/>
    </xf>
    <xf numFmtId="0" fontId="0" fillId="0" borderId="27" xfId="0" applyBorder="1" applyAlignment="1">
      <alignment horizontal="left" vertical="center" wrapText="1"/>
    </xf>
    <xf numFmtId="0" fontId="0" fillId="0" borderId="30" xfId="0" applyBorder="1" applyAlignment="1">
      <alignment horizontal="center" vertical="center" wrapText="1"/>
    </xf>
    <xf numFmtId="0" fontId="0" fillId="0" borderId="0" xfId="0" applyBorder="1" applyAlignment="1">
      <alignment horizontal="center" vertical="center" wrapText="1"/>
    </xf>
    <xf numFmtId="0" fontId="0" fillId="0" borderId="28" xfId="0" applyBorder="1" applyAlignment="1">
      <alignment horizontal="left" vertical="center" wrapText="1"/>
    </xf>
    <xf numFmtId="0" fontId="0" fillId="21" borderId="28" xfId="0" applyFill="1" applyBorder="1" applyAlignment="1">
      <alignment horizontal="left" vertical="center" wrapText="1"/>
    </xf>
    <xf numFmtId="0" fontId="0" fillId="21" borderId="27" xfId="0" applyFill="1" applyBorder="1" applyAlignment="1">
      <alignment horizontal="left" vertical="center" wrapText="1"/>
    </xf>
    <xf numFmtId="0" fontId="9" fillId="22" borderId="0" xfId="0" applyFont="1" applyFill="1" applyBorder="1" applyAlignment="1">
      <alignment horizontal="left" vertical="center" wrapText="1"/>
    </xf>
    <xf numFmtId="0" fontId="6" fillId="20" borderId="31" xfId="0" applyFont="1" applyFill="1" applyAlignment="1">
      <alignment horizontal="left" vertical="center"/>
    </xf>
    <xf numFmtId="0" fontId="9" fillId="22" borderId="24" xfId="0" applyFont="1" applyFill="1" applyBorder="1" applyAlignment="1">
      <alignment horizontal="left" vertical="center" wrapText="1"/>
    </xf>
    <xf numFmtId="0" fontId="6" fillId="20" borderId="31" xfId="0" applyFont="1" applyFill="1" applyAlignment="1">
      <alignment horizontal="center" vertical="center"/>
    </xf>
    <xf numFmtId="0" fontId="9" fillId="22" borderId="25" xfId="0" applyFont="1" applyFill="1" applyBorder="1" applyAlignment="1">
      <alignment horizontal="left" vertical="center" wrapText="1"/>
    </xf>
    <xf numFmtId="0" fontId="6" fillId="20" borderId="31" xfId="0" applyFont="1" applyFill="1" applyAlignment="1">
      <alignment vertical="center"/>
    </xf>
    <xf numFmtId="0" fontId="0" fillId="0" borderId="31" xfId="0"/>
    <xf numFmtId="0" fontId="28" fillId="20" borderId="31" xfId="0" applyFont="1" applyFill="1" applyAlignment="1">
      <alignment horizontal="center" vertical="center"/>
    </xf>
    <xf numFmtId="0" fontId="9" fillId="21" borderId="31" xfId="0" applyFont="1" applyFill="1" applyAlignment="1">
      <alignment horizontal="center" vertical="center" wrapText="1"/>
    </xf>
    <xf numFmtId="0" fontId="0" fillId="0" borderId="31" xfId="0" applyAlignment="1">
      <alignment horizontal="center"/>
    </xf>
    <xf numFmtId="0" fontId="0" fillId="0" borderId="31" xfId="0" applyAlignment="1">
      <alignment vertical="center"/>
    </xf>
    <xf numFmtId="0" fontId="0" fillId="0" borderId="31" xfId="0" applyAlignment="1">
      <alignment horizontal="center" vertical="center"/>
    </xf>
    <xf numFmtId="0" fontId="9" fillId="21" borderId="31" xfId="0" applyFont="1" applyFill="1" applyAlignment="1">
      <alignment vertical="center" wrapText="1"/>
    </xf>
  </cellXfs>
  <cellStyles count="4">
    <cellStyle name="Ezres" xfId="3" xr:uid="{00000000-0005-0000-0000-000000000000}"/>
    <cellStyle name="Hivatkozás" xfId="1" xr:uid="{00000000-0005-0000-0000-000001000000}"/>
    <cellStyle name="Normál" xfId="0" builtinId="0"/>
    <cellStyle name="Százalék" xfId="2" xr:uid="{00000000-0005-0000-0000-000003000000}"/>
  </cellStyles>
  <dxfs count="1">
    <dxf>
      <font>
        <color rgb="FFFFFFFF"/>
      </font>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07c34381b7454f9c"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1"/>
  <c:style val="2"/>
  <c:chart>
    <c:title>
      <c:tx>
        <c:rich>
          <a:bodyPr/>
          <a:lstStyle/>
          <a:p>
            <a:r>
              <a:rPr lang="hu-HU"/>
              <a:t>Five-Year Revenue and EBITDA</a:t>
            </a:r>
          </a:p>
        </c:rich>
      </c:tx>
      <c:overlay val="0"/>
    </c:title>
    <c:autoTitleDeleted val="0"/>
    <c:plotArea>
      <c:layout/>
      <c:lineChart>
        <c:grouping val="standard"/>
        <c:varyColors val="0"/>
        <c:ser>
          <c:idx val="0"/>
          <c:order val="0"/>
          <c:tx>
            <c:v>Year 1</c:v>
          </c:tx>
          <c:spPr>
            <a:ln>
              <a:prstDash val="solid"/>
            </a:ln>
          </c:spPr>
          <c:marker>
            <c:symbol val="none"/>
          </c:marker>
          <c:cat>
            <c:strRef>
              <c:f>'5Y – Results'!$B$4:$B$9</c:f>
              <c:strCache>
                <c:ptCount val="6"/>
                <c:pt idx="0">
                  <c:v>USD</c:v>
                </c:pt>
                <c:pt idx="1">
                  <c:v>USD</c:v>
                </c:pt>
                <c:pt idx="2">
                  <c:v>USD</c:v>
                </c:pt>
                <c:pt idx="3">
                  <c:v>USD</c:v>
                </c:pt>
                <c:pt idx="4">
                  <c:v>USD</c:v>
                </c:pt>
                <c:pt idx="5">
                  <c:v>USD</c:v>
                </c:pt>
              </c:strCache>
            </c:strRef>
          </c:cat>
          <c:val>
            <c:numRef>
              <c:f>'5Y – Results'!$C$4:$C$9</c:f>
              <c:numCache>
                <c:formatCode>#\ ##0;\-#\ ##0;\-</c:formatCode>
                <c:ptCount val="6"/>
                <c:pt idx="0">
                  <c:v>467409.99249999999</c:v>
                </c:pt>
                <c:pt idx="1">
                  <c:v>118612.5</c:v>
                </c:pt>
                <c:pt idx="2">
                  <c:v>574820</c:v>
                </c:pt>
                <c:pt idx="3">
                  <c:v>0</c:v>
                </c:pt>
                <c:pt idx="4">
                  <c:v>693432.5</c:v>
                </c:pt>
                <c:pt idx="5">
                  <c:v>-226022.50750000001</c:v>
                </c:pt>
              </c:numCache>
            </c:numRef>
          </c:val>
          <c:smooth val="0"/>
          <c:extLst>
            <c:ext xmlns:c16="http://schemas.microsoft.com/office/drawing/2014/chart" uri="{C3380CC4-5D6E-409C-BE32-E72D297353CC}">
              <c16:uniqueId val="{00000000-87EA-45CD-8EEE-B23F36D1D353}"/>
            </c:ext>
          </c:extLst>
        </c:ser>
        <c:ser>
          <c:idx val="1"/>
          <c:order val="1"/>
          <c:tx>
            <c:v>Year 2</c:v>
          </c:tx>
          <c:spPr>
            <a:ln>
              <a:prstDash val="solid"/>
            </a:ln>
          </c:spPr>
          <c:marker>
            <c:symbol val="none"/>
          </c:marker>
          <c:cat>
            <c:strRef>
              <c:f>'5Y – Results'!$B$4:$B$9</c:f>
              <c:strCache>
                <c:ptCount val="6"/>
                <c:pt idx="0">
                  <c:v>USD</c:v>
                </c:pt>
                <c:pt idx="1">
                  <c:v>USD</c:v>
                </c:pt>
                <c:pt idx="2">
                  <c:v>USD</c:v>
                </c:pt>
                <c:pt idx="3">
                  <c:v>USD</c:v>
                </c:pt>
                <c:pt idx="4">
                  <c:v>USD</c:v>
                </c:pt>
                <c:pt idx="5">
                  <c:v>USD</c:v>
                </c:pt>
              </c:strCache>
            </c:strRef>
          </c:cat>
          <c:val>
            <c:numRef>
              <c:f>'5Y – Results'!$D$4:$D$9</c:f>
              <c:numCache>
                <c:formatCode>#\ ##0;\-#\ ##0;\-</c:formatCode>
                <c:ptCount val="6"/>
                <c:pt idx="0">
                  <c:v>42861331.489577278</c:v>
                </c:pt>
                <c:pt idx="1">
                  <c:v>21545826.134365626</c:v>
                </c:pt>
                <c:pt idx="2">
                  <c:v>1480475</c:v>
                </c:pt>
                <c:pt idx="3">
                  <c:v>0</c:v>
                </c:pt>
                <c:pt idx="4">
                  <c:v>23026301.134365626</c:v>
                </c:pt>
                <c:pt idx="5">
                  <c:v>19835030.355211653</c:v>
                </c:pt>
              </c:numCache>
            </c:numRef>
          </c:val>
          <c:smooth val="0"/>
          <c:extLst>
            <c:ext xmlns:c16="http://schemas.microsoft.com/office/drawing/2014/chart" uri="{C3380CC4-5D6E-409C-BE32-E72D297353CC}">
              <c16:uniqueId val="{00000001-87EA-45CD-8EEE-B23F36D1D353}"/>
            </c:ext>
          </c:extLst>
        </c:ser>
        <c:ser>
          <c:idx val="2"/>
          <c:order val="2"/>
          <c:tx>
            <c:v>Year 3</c:v>
          </c:tx>
          <c:spPr>
            <a:ln>
              <a:prstDash val="solid"/>
            </a:ln>
          </c:spPr>
          <c:marker>
            <c:symbol val="none"/>
          </c:marker>
          <c:cat>
            <c:strRef>
              <c:f>'5Y – Results'!$B$4:$B$9</c:f>
              <c:strCache>
                <c:ptCount val="6"/>
                <c:pt idx="0">
                  <c:v>USD</c:v>
                </c:pt>
                <c:pt idx="1">
                  <c:v>USD</c:v>
                </c:pt>
                <c:pt idx="2">
                  <c:v>USD</c:v>
                </c:pt>
                <c:pt idx="3">
                  <c:v>USD</c:v>
                </c:pt>
                <c:pt idx="4">
                  <c:v>USD</c:v>
                </c:pt>
                <c:pt idx="5">
                  <c:v>USD</c:v>
                </c:pt>
              </c:strCache>
            </c:strRef>
          </c:cat>
          <c:val>
            <c:numRef>
              <c:f>'5Y – Results'!$E$4:$E$9</c:f>
              <c:numCache>
                <c:formatCode>#\ ##0;\-#\ ##0;\-</c:formatCode>
                <c:ptCount val="6"/>
                <c:pt idx="0">
                  <c:v>104557694.31956331</c:v>
                </c:pt>
                <c:pt idx="1">
                  <c:v>50486234.760670491</c:v>
                </c:pt>
                <c:pt idx="2">
                  <c:v>2787975</c:v>
                </c:pt>
                <c:pt idx="3">
                  <c:v>0</c:v>
                </c:pt>
                <c:pt idx="4">
                  <c:v>53274209.760670491</c:v>
                </c:pt>
                <c:pt idx="5">
                  <c:v>51283484.558892824</c:v>
                </c:pt>
              </c:numCache>
            </c:numRef>
          </c:val>
          <c:smooth val="0"/>
          <c:extLst>
            <c:ext xmlns:c16="http://schemas.microsoft.com/office/drawing/2014/chart" uri="{C3380CC4-5D6E-409C-BE32-E72D297353CC}">
              <c16:uniqueId val="{00000002-87EA-45CD-8EEE-B23F36D1D353}"/>
            </c:ext>
          </c:extLst>
        </c:ser>
        <c:ser>
          <c:idx val="3"/>
          <c:order val="3"/>
          <c:tx>
            <c:v>Year 4</c:v>
          </c:tx>
          <c:spPr>
            <a:ln>
              <a:prstDash val="solid"/>
            </a:ln>
          </c:spPr>
          <c:marker>
            <c:symbol val="none"/>
          </c:marker>
          <c:cat>
            <c:strRef>
              <c:f>'5Y – Results'!$B$4:$B$9</c:f>
              <c:strCache>
                <c:ptCount val="6"/>
                <c:pt idx="0">
                  <c:v>USD</c:v>
                </c:pt>
                <c:pt idx="1">
                  <c:v>USD</c:v>
                </c:pt>
                <c:pt idx="2">
                  <c:v>USD</c:v>
                </c:pt>
                <c:pt idx="3">
                  <c:v>USD</c:v>
                </c:pt>
                <c:pt idx="4">
                  <c:v>USD</c:v>
                </c:pt>
                <c:pt idx="5">
                  <c:v>USD</c:v>
                </c:pt>
              </c:strCache>
            </c:strRef>
          </c:cat>
          <c:val>
            <c:numRef>
              <c:f>'5Y – Results'!$F$4:$F$9</c:f>
              <c:numCache>
                <c:formatCode>#\ ##0;\-#\ ##0;\-</c:formatCode>
                <c:ptCount val="6"/>
                <c:pt idx="0">
                  <c:v>211273637.0625</c:v>
                </c:pt>
                <c:pt idx="1">
                  <c:v>109097926.875</c:v>
                </c:pt>
                <c:pt idx="2">
                  <c:v>3883483</c:v>
                </c:pt>
                <c:pt idx="3">
                  <c:v>0</c:v>
                </c:pt>
                <c:pt idx="4">
                  <c:v>112981409.875</c:v>
                </c:pt>
                <c:pt idx="5">
                  <c:v>98292227.1875</c:v>
                </c:pt>
              </c:numCache>
            </c:numRef>
          </c:val>
          <c:smooth val="0"/>
          <c:extLst>
            <c:ext xmlns:c16="http://schemas.microsoft.com/office/drawing/2014/chart" uri="{C3380CC4-5D6E-409C-BE32-E72D297353CC}">
              <c16:uniqueId val="{00000003-87EA-45CD-8EEE-B23F36D1D353}"/>
            </c:ext>
          </c:extLst>
        </c:ser>
        <c:ser>
          <c:idx val="4"/>
          <c:order val="4"/>
          <c:tx>
            <c:v>Year 5</c:v>
          </c:tx>
          <c:spPr>
            <a:ln>
              <a:prstDash val="solid"/>
            </a:ln>
          </c:spPr>
          <c:marker>
            <c:symbol val="none"/>
          </c:marker>
          <c:cat>
            <c:strRef>
              <c:f>'5Y – Results'!$B$4:$B$9</c:f>
              <c:strCache>
                <c:ptCount val="6"/>
                <c:pt idx="0">
                  <c:v>USD</c:v>
                </c:pt>
                <c:pt idx="1">
                  <c:v>USD</c:v>
                </c:pt>
                <c:pt idx="2">
                  <c:v>USD</c:v>
                </c:pt>
                <c:pt idx="3">
                  <c:v>USD</c:v>
                </c:pt>
                <c:pt idx="4">
                  <c:v>USD</c:v>
                </c:pt>
                <c:pt idx="5">
                  <c:v>USD</c:v>
                </c:pt>
              </c:strCache>
            </c:strRef>
          </c:cat>
          <c:val>
            <c:numRef>
              <c:f>'5Y – Results'!$G$4:$G$9</c:f>
              <c:numCache>
                <c:formatCode>#\ ##0;\-#\ ##0;\-</c:formatCode>
                <c:ptCount val="6"/>
                <c:pt idx="0">
                  <c:v>416957130.67500007</c:v>
                </c:pt>
                <c:pt idx="1">
                  <c:v>224093839.20000005</c:v>
                </c:pt>
                <c:pt idx="2">
                  <c:v>4898481.5</c:v>
                </c:pt>
                <c:pt idx="3">
                  <c:v>0</c:v>
                </c:pt>
                <c:pt idx="4">
                  <c:v>228992320.70000005</c:v>
                </c:pt>
                <c:pt idx="5">
                  <c:v>187964809.97500002</c:v>
                </c:pt>
              </c:numCache>
            </c:numRef>
          </c:val>
          <c:smooth val="0"/>
          <c:extLst>
            <c:ext xmlns:c16="http://schemas.microsoft.com/office/drawing/2014/chart" uri="{C3380CC4-5D6E-409C-BE32-E72D297353CC}">
              <c16:uniqueId val="{00000004-87EA-45CD-8EEE-B23F36D1D353}"/>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0"/>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0"/>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0</xdr:rowOff>
    </xdr:from>
    <xdr:to>
      <xdr:col>16</xdr:col>
      <xdr:colOff>0</xdr:colOff>
      <xdr:row>27</xdr:row>
      <xdr:rowOff>0</xdr:rowOff>
    </xdr:to>
    <xdr:graphicFrame macro="">
      <xdr:nvGraphicFramePr>
        <xdr:cNvPr id="2" name="Chart">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xltc:personList xmlns:xltc="http://schemas.microsoft.com/office/spreadsheetml/2018/threadedcomments">
  <xltc:person displayName="Boér László" id="{7477A957-D6E6-8BF0-C4A8-8B4F0D5D3DC9}"/>
  <xltc:person displayName="Boér László" id="{2090F76C-AB44-1F91-DDE2-E74FE776F40E}"/>
  <xltc:person displayName="Boér László" id="{1C185EFE-7807-0D53-A07A-585DB73E9D2D}"/>
  <xltc:person displayName="Boér László" id="{EEFEB05E-655F-2386-DD2D-29ABD5C40877}"/>
  <xltc:person displayName="Boér László" id="{7C3A791B-FE63-F5DC-98BF-3D88D4271F98}"/>
  <xltc:person displayName="Boér László" id="{8FDAA935-0DEC-2401-E291-684B1CABE8B5}"/>
  <xltc:person displayName="Boér László" id="{0B37E116-9436-4B5D-03BB-8EA752226923}"/>
</xl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
  <sheetViews>
    <sheetView tabSelected="1" workbookViewId="0"/>
  </sheetViews>
  <sheetFormatPr defaultColWidth="14.453125" defaultRowHeight="12.5" x14ac:dyDescent="0.25"/>
  <cols>
    <col min="1" max="1" width="2.81640625" style="131" customWidth="1"/>
    <col min="2" max="2" width="50" style="132" customWidth="1"/>
    <col min="3" max="3" width="126.7265625" style="131" customWidth="1"/>
    <col min="4" max="16384" width="14.453125" style="131"/>
  </cols>
  <sheetData>
    <row r="1" spans="1:3" ht="15.5" customHeight="1" x14ac:dyDescent="0.25">
      <c r="A1" s="1"/>
      <c r="B1" s="1"/>
      <c r="C1" s="1"/>
    </row>
    <row r="2" spans="1:3" ht="19.5" customHeight="1" x14ac:dyDescent="0.25">
      <c r="A2" s="1"/>
      <c r="B2" s="350" t="s">
        <v>45</v>
      </c>
      <c r="C2" s="349"/>
    </row>
    <row r="3" spans="1:3" ht="15.5" customHeight="1" x14ac:dyDescent="0.25">
      <c r="A3" s="1"/>
      <c r="B3" s="134" t="s">
        <v>46</v>
      </c>
      <c r="C3" s="1"/>
    </row>
    <row r="4" spans="1:3" ht="15.5" customHeight="1" x14ac:dyDescent="0.25">
      <c r="A4" s="1"/>
      <c r="B4" s="1"/>
      <c r="C4" s="1"/>
    </row>
    <row r="5" spans="1:3" ht="15.5" customHeight="1" x14ac:dyDescent="0.25">
      <c r="A5" s="135"/>
      <c r="B5" s="348"/>
      <c r="C5" s="349"/>
    </row>
    <row r="6" spans="1:3" ht="15.5" customHeight="1" x14ac:dyDescent="0.25">
      <c r="A6" s="1"/>
      <c r="B6" s="1"/>
      <c r="C6" s="1"/>
    </row>
    <row r="7" spans="1:3" ht="15.5" customHeight="1" x14ac:dyDescent="0.25">
      <c r="A7" s="1"/>
      <c r="B7" s="136" t="s">
        <v>47</v>
      </c>
      <c r="C7" s="136"/>
    </row>
    <row r="8" spans="1:3" ht="15.5" customHeight="1" x14ac:dyDescent="0.25">
      <c r="A8" s="1"/>
      <c r="B8" s="1"/>
      <c r="C8" s="1"/>
    </row>
    <row r="9" spans="1:3" ht="55.5" customHeight="1" x14ac:dyDescent="0.25">
      <c r="A9" s="1"/>
      <c r="B9" s="137" t="s">
        <v>48</v>
      </c>
      <c r="C9" s="132"/>
    </row>
    <row r="10" spans="1:3" ht="67" customHeight="1" x14ac:dyDescent="0.25">
      <c r="A10" s="1"/>
      <c r="B10" s="137" t="s">
        <v>49</v>
      </c>
      <c r="C10" s="132"/>
    </row>
    <row r="11" spans="1:3" ht="15.5" customHeight="1" x14ac:dyDescent="0.25">
      <c r="A11" s="135"/>
      <c r="B11" s="138" t="s">
        <v>50</v>
      </c>
      <c r="C11" s="139" t="s">
        <v>0</v>
      </c>
    </row>
    <row r="12" spans="1:3" ht="15.5" customHeight="1" x14ac:dyDescent="0.25">
      <c r="A12" s="135"/>
      <c r="B12" s="138" t="s">
        <v>51</v>
      </c>
      <c r="C12" s="139" t="s">
        <v>1</v>
      </c>
    </row>
    <row r="13" spans="1:3" ht="15.5" customHeight="1" x14ac:dyDescent="0.25">
      <c r="A13" s="135"/>
      <c r="B13" s="138" t="s">
        <v>52</v>
      </c>
      <c r="C13" s="139" t="s">
        <v>2</v>
      </c>
    </row>
    <row r="14" spans="1:3" ht="15.5" customHeight="1" x14ac:dyDescent="0.25">
      <c r="A14" s="135"/>
      <c r="B14" s="138" t="s">
        <v>53</v>
      </c>
      <c r="C14" s="139" t="s">
        <v>3</v>
      </c>
    </row>
    <row r="15" spans="1:3" ht="15.5" customHeight="1" x14ac:dyDescent="0.25">
      <c r="A15" s="135"/>
      <c r="B15" s="138" t="s">
        <v>54</v>
      </c>
      <c r="C15" s="139" t="s">
        <v>4</v>
      </c>
    </row>
    <row r="16" spans="1:3" ht="15.5" customHeight="1" x14ac:dyDescent="0.25">
      <c r="A16" s="135"/>
      <c r="B16" s="138" t="s">
        <v>55</v>
      </c>
      <c r="C16" s="139" t="s">
        <v>5</v>
      </c>
    </row>
    <row r="17" spans="1:10" ht="15.5" customHeight="1" x14ac:dyDescent="0.25">
      <c r="A17" s="135"/>
      <c r="B17" s="138" t="s">
        <v>56</v>
      </c>
      <c r="C17" s="139" t="s">
        <v>6</v>
      </c>
    </row>
    <row r="18" spans="1:10" ht="15.5" customHeight="1" x14ac:dyDescent="0.25">
      <c r="A18" s="135"/>
      <c r="B18" s="138" t="s">
        <v>57</v>
      </c>
      <c r="C18" s="139" t="s">
        <v>7</v>
      </c>
    </row>
    <row r="19" spans="1:10" ht="15.5" customHeight="1" x14ac:dyDescent="0.25">
      <c r="A19" s="135"/>
      <c r="B19" s="138" t="s">
        <v>58</v>
      </c>
      <c r="C19" s="139" t="s">
        <v>0</v>
      </c>
    </row>
    <row r="20" spans="1:10" ht="15.5" customHeight="1" x14ac:dyDescent="0.25">
      <c r="A20" s="135"/>
      <c r="B20" s="138" t="s">
        <v>59</v>
      </c>
      <c r="C20" s="139" t="s">
        <v>8</v>
      </c>
    </row>
    <row r="21" spans="1:10" ht="15.5" customHeight="1" x14ac:dyDescent="0.25">
      <c r="A21" s="135"/>
      <c r="B21" s="138" t="s">
        <v>60</v>
      </c>
      <c r="C21" s="139" t="s">
        <v>9</v>
      </c>
    </row>
    <row r="22" spans="1:10" ht="15.5" customHeight="1" x14ac:dyDescent="0.25">
      <c r="A22" s="135"/>
      <c r="B22" s="138" t="s">
        <v>61</v>
      </c>
      <c r="C22" s="139" t="s">
        <v>10</v>
      </c>
    </row>
    <row r="23" spans="1:10" ht="15.5" customHeight="1" x14ac:dyDescent="0.25">
      <c r="A23" s="135"/>
      <c r="B23" s="335" t="s">
        <v>62</v>
      </c>
      <c r="C23" s="139" t="s">
        <v>11</v>
      </c>
    </row>
    <row r="24" spans="1:10" ht="15.5" customHeight="1" x14ac:dyDescent="0.25">
      <c r="A24" s="135"/>
      <c r="B24" s="138" t="s">
        <v>63</v>
      </c>
      <c r="C24" s="139" t="s">
        <v>12</v>
      </c>
    </row>
    <row r="25" spans="1:10" ht="15.5" customHeight="1" x14ac:dyDescent="0.25">
      <c r="A25" s="1"/>
      <c r="B25" s="140" t="s">
        <v>64</v>
      </c>
      <c r="C25" s="141" t="s">
        <v>13</v>
      </c>
      <c r="D25" s="142"/>
    </row>
    <row r="26" spans="1:10" ht="15.5" customHeight="1" x14ac:dyDescent="0.25">
      <c r="A26" s="143"/>
      <c r="B26" s="144" t="s">
        <v>65</v>
      </c>
      <c r="C26" s="145" t="s">
        <v>14</v>
      </c>
    </row>
    <row r="27" spans="1:10" ht="15.5" customHeight="1" x14ac:dyDescent="0.25">
      <c r="A27" s="1"/>
      <c r="B27" s="1"/>
      <c r="C27" s="146"/>
    </row>
    <row r="28" spans="1:10" ht="15.5" customHeight="1" x14ac:dyDescent="0.25">
      <c r="A28" s="1"/>
      <c r="B28" s="336" t="s">
        <v>66</v>
      </c>
      <c r="C28" s="136"/>
      <c r="D28" s="147"/>
      <c r="E28" s="147"/>
      <c r="F28" s="147"/>
      <c r="G28" s="147"/>
      <c r="H28" s="147"/>
      <c r="I28" s="147"/>
      <c r="J28" s="147"/>
    </row>
    <row r="29" spans="1:10" s="133" customFormat="1" ht="15.5" customHeight="1" x14ac:dyDescent="0.25">
      <c r="A29" s="127"/>
      <c r="B29" s="337"/>
      <c r="C29" s="338"/>
      <c r="D29" s="339"/>
      <c r="E29" s="339"/>
      <c r="F29" s="339"/>
      <c r="G29" s="339"/>
      <c r="H29" s="339"/>
      <c r="I29" s="339"/>
      <c r="J29" s="339"/>
    </row>
    <row r="30" spans="1:10" ht="15.5" customHeight="1" x14ac:dyDescent="0.25">
      <c r="A30" s="1"/>
      <c r="B30" s="340" t="s">
        <v>67</v>
      </c>
      <c r="C30" s="340" t="s">
        <v>68</v>
      </c>
    </row>
    <row r="31" spans="1:10" ht="15.5" customHeight="1" x14ac:dyDescent="0.25">
      <c r="A31" s="1"/>
      <c r="B31" s="132" t="s">
        <v>69</v>
      </c>
      <c r="C31" s="132" t="s">
        <v>70</v>
      </c>
    </row>
    <row r="32" spans="1:10" ht="28" customHeight="1" x14ac:dyDescent="0.25">
      <c r="A32" s="1"/>
      <c r="B32" s="132" t="s">
        <v>71</v>
      </c>
      <c r="C32" s="132" t="s">
        <v>72</v>
      </c>
    </row>
    <row r="33" spans="1:10" ht="15.5" customHeight="1" x14ac:dyDescent="0.25">
      <c r="A33" s="1"/>
      <c r="B33" s="132" t="s">
        <v>73</v>
      </c>
      <c r="C33" s="132" t="s">
        <v>74</v>
      </c>
    </row>
    <row r="34" spans="1:10" ht="15.5" customHeight="1" x14ac:dyDescent="0.25">
      <c r="A34" s="1"/>
      <c r="B34" s="132" t="s">
        <v>75</v>
      </c>
      <c r="C34" s="132" t="s">
        <v>76</v>
      </c>
      <c r="D34" s="147"/>
      <c r="E34" s="147"/>
      <c r="F34" s="147"/>
      <c r="G34" s="147"/>
      <c r="H34" s="147"/>
      <c r="I34" s="147"/>
      <c r="J34" s="147"/>
    </row>
    <row r="35" spans="1:10" ht="15.5" customHeight="1" x14ac:dyDescent="0.25">
      <c r="A35" s="1"/>
      <c r="B35" s="132" t="s">
        <v>77</v>
      </c>
      <c r="C35" s="132" t="s">
        <v>78</v>
      </c>
    </row>
    <row r="36" spans="1:10" ht="15.5" customHeight="1" x14ac:dyDescent="0.25">
      <c r="A36" s="1"/>
      <c r="B36" s="132" t="s">
        <v>79</v>
      </c>
      <c r="C36" s="132" t="s">
        <v>80</v>
      </c>
    </row>
    <row r="37" spans="1:10" ht="15.5" customHeight="1" x14ac:dyDescent="0.25">
      <c r="A37" s="1"/>
      <c r="B37" s="132" t="s">
        <v>81</v>
      </c>
      <c r="C37" s="132" t="s">
        <v>82</v>
      </c>
    </row>
    <row r="38" spans="1:10" ht="15.5" customHeight="1" x14ac:dyDescent="0.25">
      <c r="A38" s="1"/>
      <c r="B38" s="132" t="s">
        <v>83</v>
      </c>
      <c r="C38" s="132" t="s">
        <v>84</v>
      </c>
    </row>
    <row r="39" spans="1:10" ht="15.5" customHeight="1" x14ac:dyDescent="0.25">
      <c r="A39" s="1"/>
      <c r="B39" s="132" t="s">
        <v>85</v>
      </c>
      <c r="C39" s="132" t="s">
        <v>86</v>
      </c>
    </row>
    <row r="40" spans="1:10" ht="15.5" customHeight="1" x14ac:dyDescent="0.25">
      <c r="A40" s="1"/>
      <c r="B40" s="132" t="s">
        <v>87</v>
      </c>
      <c r="C40" s="132" t="s">
        <v>88</v>
      </c>
    </row>
    <row r="41" spans="1:10" ht="15.5" customHeight="1" x14ac:dyDescent="0.25">
      <c r="A41" s="1"/>
      <c r="B41" s="132" t="s">
        <v>89</v>
      </c>
      <c r="C41" s="132" t="s">
        <v>90</v>
      </c>
    </row>
    <row r="42" spans="1:10" ht="15.5" customHeight="1" x14ac:dyDescent="0.25">
      <c r="A42" s="1"/>
      <c r="B42" s="132" t="s">
        <v>91</v>
      </c>
      <c r="C42" s="132" t="s">
        <v>92</v>
      </c>
    </row>
    <row r="43" spans="1:10" ht="15.5" customHeight="1" x14ac:dyDescent="0.25">
      <c r="A43" s="1"/>
      <c r="B43" s="132" t="s">
        <v>93</v>
      </c>
      <c r="C43" s="132" t="s">
        <v>94</v>
      </c>
    </row>
    <row r="44" spans="1:10" s="133" customFormat="1" ht="15.5" customHeight="1" x14ac:dyDescent="0.25">
      <c r="A44" s="127"/>
      <c r="B44" s="341"/>
      <c r="C44" s="341"/>
    </row>
    <row r="45" spans="1:10" ht="15.5" customHeight="1" x14ac:dyDescent="0.25">
      <c r="A45" s="1"/>
      <c r="B45" s="336" t="s">
        <v>95</v>
      </c>
      <c r="C45" s="136"/>
    </row>
    <row r="46" spans="1:10" ht="15.5" customHeight="1" x14ac:dyDescent="0.25">
      <c r="A46" s="1"/>
      <c r="B46" s="1"/>
      <c r="C46" s="1"/>
    </row>
    <row r="47" spans="1:10" ht="15.5" customHeight="1" x14ac:dyDescent="0.25">
      <c r="A47" s="1"/>
      <c r="B47" s="131" t="s">
        <v>96</v>
      </c>
      <c r="C47" s="148">
        <v>123</v>
      </c>
    </row>
    <row r="48" spans="1:10" ht="15.5" customHeight="1" x14ac:dyDescent="0.25">
      <c r="A48" s="1"/>
      <c r="B48" s="1"/>
      <c r="C48" s="1"/>
    </row>
    <row r="49" spans="1:8" ht="15.5" customHeight="1" x14ac:dyDescent="0.25">
      <c r="A49" s="1"/>
      <c r="B49" s="131" t="s">
        <v>97</v>
      </c>
      <c r="C49" s="149">
        <v>123</v>
      </c>
    </row>
    <row r="50" spans="1:8" ht="15.5" customHeight="1" x14ac:dyDescent="0.25">
      <c r="A50" s="1"/>
      <c r="B50" s="1"/>
      <c r="C50" s="1"/>
    </row>
    <row r="51" spans="1:8" ht="15.5" customHeight="1" x14ac:dyDescent="0.25">
      <c r="A51" s="1"/>
      <c r="B51" s="131" t="s">
        <v>98</v>
      </c>
      <c r="C51" s="150">
        <v>123</v>
      </c>
    </row>
    <row r="52" spans="1:8" s="133" customFormat="1" ht="10.4" customHeight="1" x14ac:dyDescent="0.25">
      <c r="A52" s="1"/>
      <c r="B52" s="1"/>
      <c r="C52" s="151"/>
    </row>
    <row r="53" spans="1:8" ht="10.4" customHeight="1" x14ac:dyDescent="0.25">
      <c r="A53" s="1"/>
      <c r="B53" s="152"/>
      <c r="C53" s="153"/>
      <c r="H53" s="152"/>
    </row>
    <row r="54" spans="1:8" ht="10.4" customHeight="1" x14ac:dyDescent="0.25">
      <c r="A54" s="1"/>
      <c r="C54" s="152"/>
      <c r="H54" s="152"/>
    </row>
    <row r="55" spans="1:8" ht="10.4" customHeight="1" x14ac:dyDescent="0.25">
      <c r="A55" s="1"/>
      <c r="C55" s="152"/>
      <c r="H55" s="152"/>
    </row>
    <row r="56" spans="1:8" ht="10.4" customHeight="1" x14ac:dyDescent="0.25">
      <c r="A56" s="1"/>
      <c r="C56" s="152"/>
      <c r="H56" s="132"/>
    </row>
    <row r="57" spans="1:8" ht="10.4" customHeight="1" x14ac:dyDescent="0.25">
      <c r="A57" s="1"/>
      <c r="C57" s="152"/>
      <c r="H57" s="132"/>
    </row>
    <row r="58" spans="1:8" ht="10.4" customHeight="1" x14ac:dyDescent="0.25">
      <c r="A58" s="1"/>
      <c r="C58" s="152"/>
      <c r="H58" s="132"/>
    </row>
  </sheetData>
  <mergeCells count="2">
    <mergeCell ref="B5:C5"/>
    <mergeCell ref="B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8"/>
  <sheetViews>
    <sheetView workbookViewId="0">
      <selection sqref="A1:L1"/>
    </sheetView>
  </sheetViews>
  <sheetFormatPr defaultRowHeight="12.5" x14ac:dyDescent="0.25"/>
  <cols>
    <col min="1" max="1" width="34" customWidth="1"/>
    <col min="2" max="3" width="17" customWidth="1"/>
    <col min="4" max="6" width="16" customWidth="1"/>
    <col min="7" max="7" width="18" customWidth="1"/>
    <col min="8" max="9" width="14" customWidth="1"/>
    <col min="10" max="10" width="15" customWidth="1"/>
    <col min="11" max="11" width="16" customWidth="1"/>
    <col min="12" max="12" width="18" customWidth="1"/>
  </cols>
  <sheetData>
    <row r="1" spans="1:12" ht="19.5" customHeight="1" x14ac:dyDescent="0.25">
      <c r="A1" s="365" t="s">
        <v>360</v>
      </c>
      <c r="B1" s="364"/>
      <c r="C1" s="364"/>
      <c r="D1" s="364"/>
      <c r="E1" s="364"/>
      <c r="F1" s="364"/>
      <c r="G1" s="364"/>
      <c r="H1" s="364"/>
      <c r="I1" s="364"/>
      <c r="J1" s="364"/>
      <c r="K1" s="364"/>
      <c r="L1" s="364"/>
    </row>
    <row r="2" spans="1:12" ht="15.5" customHeight="1" x14ac:dyDescent="0.25">
      <c r="A2" s="1"/>
      <c r="B2" s="1"/>
      <c r="C2" s="1"/>
      <c r="D2" s="1"/>
      <c r="E2" s="1"/>
      <c r="F2" s="1"/>
      <c r="G2" s="1"/>
      <c r="H2" s="1"/>
      <c r="I2" s="1"/>
      <c r="J2" s="1"/>
      <c r="K2" s="1"/>
      <c r="L2" s="1"/>
    </row>
    <row r="3" spans="1:12" ht="15.5" customHeight="1" x14ac:dyDescent="0.25">
      <c r="A3" s="366" t="s">
        <v>361</v>
      </c>
      <c r="B3" s="367"/>
      <c r="C3" s="367"/>
      <c r="D3" s="367"/>
      <c r="E3" s="367"/>
      <c r="F3" s="367"/>
      <c r="G3" s="367"/>
      <c r="H3" s="367"/>
      <c r="I3" s="367"/>
      <c r="J3" s="367"/>
      <c r="K3" s="367"/>
      <c r="L3" s="367"/>
    </row>
    <row r="4" spans="1:12" ht="15.5" customHeight="1" x14ac:dyDescent="0.25">
      <c r="A4" s="367"/>
      <c r="B4" s="367"/>
      <c r="C4" s="367"/>
      <c r="D4" s="367"/>
      <c r="E4" s="367"/>
      <c r="F4" s="367"/>
      <c r="G4" s="367"/>
      <c r="H4" s="367"/>
      <c r="I4" s="367"/>
      <c r="J4" s="367"/>
      <c r="K4" s="367"/>
      <c r="L4" s="367"/>
    </row>
    <row r="5" spans="1:12" ht="15.5" customHeight="1" x14ac:dyDescent="0.25">
      <c r="A5" s="1"/>
      <c r="B5" s="1"/>
      <c r="C5" s="1"/>
      <c r="D5" s="1"/>
      <c r="E5" s="1"/>
      <c r="F5" s="1"/>
      <c r="G5" s="1"/>
      <c r="H5" s="1"/>
      <c r="I5" s="1"/>
      <c r="J5" s="1"/>
      <c r="K5" s="1"/>
      <c r="L5" s="1"/>
    </row>
    <row r="6" spans="1:12" ht="15.5" customHeight="1" x14ac:dyDescent="0.25">
      <c r="A6" s="359" t="s">
        <v>362</v>
      </c>
      <c r="B6" s="359"/>
      <c r="C6" s="359"/>
      <c r="D6" s="359"/>
      <c r="E6" s="359"/>
      <c r="F6" s="359"/>
      <c r="G6" s="359"/>
      <c r="H6" s="359"/>
      <c r="I6" s="359"/>
      <c r="J6" s="359"/>
      <c r="K6" s="359"/>
      <c r="L6" s="359"/>
    </row>
    <row r="7" spans="1:12" ht="15.5" customHeight="1" x14ac:dyDescent="0.25">
      <c r="A7" s="113" t="s">
        <v>363</v>
      </c>
      <c r="B7" s="113" t="s">
        <v>99</v>
      </c>
      <c r="C7" s="156"/>
      <c r="D7" s="113" t="s">
        <v>364</v>
      </c>
      <c r="E7" s="113" t="s">
        <v>365</v>
      </c>
      <c r="F7" s="113"/>
      <c r="G7" s="156"/>
      <c r="H7" s="156"/>
      <c r="I7" s="159" t="s">
        <v>366</v>
      </c>
      <c r="J7" s="156"/>
      <c r="K7" s="156"/>
      <c r="L7" s="156"/>
    </row>
    <row r="8" spans="1:12" ht="15.5" customHeight="1" x14ac:dyDescent="0.25">
      <c r="A8" s="1" t="s">
        <v>367</v>
      </c>
      <c r="B8" s="1" t="s">
        <v>35</v>
      </c>
      <c r="D8" s="114">
        <v>320</v>
      </c>
      <c r="E8" s="1" t="s">
        <v>368</v>
      </c>
      <c r="F8" s="1"/>
      <c r="G8" s="1"/>
      <c r="I8" s="1" t="s">
        <v>369</v>
      </c>
      <c r="J8" s="1"/>
      <c r="K8" s="1"/>
      <c r="L8" s="1"/>
    </row>
    <row r="9" spans="1:12" ht="15.5" customHeight="1" x14ac:dyDescent="0.25">
      <c r="A9" s="1" t="s">
        <v>370</v>
      </c>
      <c r="B9" s="1" t="s">
        <v>371</v>
      </c>
      <c r="D9" s="115">
        <v>3</v>
      </c>
      <c r="E9" s="1" t="s">
        <v>372</v>
      </c>
      <c r="F9" s="1"/>
      <c r="G9" s="1"/>
      <c r="I9" s="1" t="s">
        <v>373</v>
      </c>
      <c r="J9" s="1"/>
      <c r="K9" s="1"/>
      <c r="L9" s="1"/>
    </row>
    <row r="10" spans="1:12" ht="15.5" customHeight="1" x14ac:dyDescent="0.25">
      <c r="A10" s="1" t="s">
        <v>108</v>
      </c>
      <c r="B10" s="1" t="s">
        <v>374</v>
      </c>
      <c r="D10" s="115">
        <v>0.05</v>
      </c>
      <c r="E10" s="1" t="s">
        <v>375</v>
      </c>
      <c r="F10" s="1"/>
      <c r="G10" s="1"/>
      <c r="I10" s="1" t="s">
        <v>376</v>
      </c>
      <c r="J10" s="1"/>
      <c r="K10" s="1"/>
      <c r="L10" s="1"/>
    </row>
    <row r="11" spans="1:12" ht="15.5" customHeight="1" x14ac:dyDescent="0.25">
      <c r="A11" s="1" t="s">
        <v>377</v>
      </c>
      <c r="B11" s="1" t="s">
        <v>378</v>
      </c>
      <c r="D11" s="115">
        <v>1</v>
      </c>
      <c r="E11" s="1" t="s">
        <v>372</v>
      </c>
      <c r="F11" s="1"/>
      <c r="G11" s="1"/>
      <c r="I11" s="1" t="s">
        <v>379</v>
      </c>
      <c r="J11" s="1"/>
      <c r="K11" s="1"/>
      <c r="L11" s="1"/>
    </row>
    <row r="12" spans="1:12" ht="15.5" customHeight="1" x14ac:dyDescent="0.25">
      <c r="A12" s="1" t="s">
        <v>380</v>
      </c>
      <c r="B12" s="1" t="s">
        <v>15</v>
      </c>
      <c r="D12" s="104">
        <v>0.66666666666666663</v>
      </c>
      <c r="E12" s="1" t="s">
        <v>381</v>
      </c>
      <c r="F12" s="1"/>
      <c r="G12" s="1"/>
      <c r="I12" s="1" t="s">
        <v>382</v>
      </c>
      <c r="J12" s="1"/>
      <c r="K12" s="1"/>
      <c r="L12" s="1"/>
    </row>
    <row r="13" spans="1:12" ht="15.5" customHeight="1" x14ac:dyDescent="0.25">
      <c r="A13" s="1" t="s">
        <v>383</v>
      </c>
      <c r="B13" s="1" t="s">
        <v>384</v>
      </c>
      <c r="D13" s="104">
        <v>1.4999999999999999E-2</v>
      </c>
      <c r="E13" s="1" t="s">
        <v>385</v>
      </c>
      <c r="F13" s="1"/>
      <c r="G13" s="1"/>
      <c r="I13" s="1" t="s">
        <v>386</v>
      </c>
      <c r="J13" s="1"/>
      <c r="K13" s="1"/>
      <c r="L13" s="1"/>
    </row>
    <row r="14" spans="1:12" ht="15.5" customHeight="1" x14ac:dyDescent="0.25">
      <c r="A14" s="1" t="s">
        <v>279</v>
      </c>
      <c r="B14" s="1" t="s">
        <v>387</v>
      </c>
      <c r="D14" s="104">
        <v>0.21</v>
      </c>
      <c r="E14" s="1" t="s">
        <v>388</v>
      </c>
      <c r="F14" s="1"/>
      <c r="G14" s="1"/>
      <c r="I14" s="1" t="s">
        <v>389</v>
      </c>
      <c r="J14" s="1"/>
      <c r="K14" s="1"/>
      <c r="L14" s="1"/>
    </row>
    <row r="15" spans="1:12" ht="15.5" customHeight="1" x14ac:dyDescent="0.25">
      <c r="A15" s="1" t="s">
        <v>390</v>
      </c>
      <c r="B15" s="1" t="s">
        <v>33</v>
      </c>
      <c r="D15" s="194">
        <v>1447782</v>
      </c>
      <c r="E15" s="1" t="s">
        <v>44</v>
      </c>
      <c r="F15" s="1"/>
      <c r="G15" s="1"/>
      <c r="I15" s="1" t="s">
        <v>391</v>
      </c>
      <c r="J15" s="1"/>
      <c r="K15" s="1"/>
      <c r="L15" s="1"/>
    </row>
    <row r="16" spans="1:12" ht="15.5" customHeight="1" x14ac:dyDescent="0.25">
      <c r="A16" s="1" t="s">
        <v>392</v>
      </c>
      <c r="B16" s="1" t="s">
        <v>393</v>
      </c>
      <c r="D16" s="104">
        <v>0.8</v>
      </c>
      <c r="E16" s="1" t="s">
        <v>394</v>
      </c>
      <c r="F16" s="1"/>
      <c r="G16" s="1"/>
      <c r="I16" s="1" t="s">
        <v>395</v>
      </c>
      <c r="J16" s="1"/>
      <c r="K16" s="1"/>
      <c r="L16" s="1"/>
    </row>
    <row r="17" spans="1:12" ht="15.5" customHeight="1" x14ac:dyDescent="0.25">
      <c r="A17" s="1" t="s">
        <v>396</v>
      </c>
      <c r="B17" s="1" t="s">
        <v>285</v>
      </c>
      <c r="D17" s="158">
        <v>0</v>
      </c>
      <c r="E17" s="1" t="s">
        <v>397</v>
      </c>
      <c r="F17" s="1"/>
      <c r="G17" s="1"/>
      <c r="I17" s="1" t="s">
        <v>398</v>
      </c>
      <c r="J17" s="1"/>
      <c r="K17" s="1"/>
      <c r="L17" s="1"/>
    </row>
    <row r="18" spans="1:12" ht="15.5" customHeight="1" x14ac:dyDescent="0.25">
      <c r="A18" s="1" t="s">
        <v>111</v>
      </c>
      <c r="B18" s="1" t="s">
        <v>399</v>
      </c>
      <c r="D18" s="104">
        <v>0.35</v>
      </c>
      <c r="E18" s="1" t="s">
        <v>400</v>
      </c>
      <c r="F18" s="1"/>
      <c r="G18" s="1"/>
      <c r="I18" s="1" t="s">
        <v>401</v>
      </c>
      <c r="J18" s="1"/>
      <c r="K18" s="1"/>
      <c r="L18" s="1"/>
    </row>
    <row r="19" spans="1:12" ht="15.5" customHeight="1" x14ac:dyDescent="0.25">
      <c r="A19" s="1" t="s">
        <v>402</v>
      </c>
      <c r="B19" s="1" t="s">
        <v>403</v>
      </c>
      <c r="D19" s="194">
        <v>100000000</v>
      </c>
      <c r="E19" s="1" t="s">
        <v>404</v>
      </c>
      <c r="F19" s="1"/>
      <c r="G19" s="1"/>
      <c r="I19" s="1" t="s">
        <v>405</v>
      </c>
      <c r="J19" s="1"/>
      <c r="K19" s="1"/>
      <c r="L19" s="1"/>
    </row>
    <row r="20" spans="1:12" s="122" customFormat="1" ht="15.5" customHeight="1" x14ac:dyDescent="0.25">
      <c r="A20" s="127"/>
      <c r="B20" s="127"/>
      <c r="C20" s="127"/>
      <c r="D20" s="127"/>
      <c r="E20" s="127"/>
      <c r="F20" s="127"/>
      <c r="G20" s="127"/>
      <c r="H20" s="127"/>
      <c r="I20" s="127"/>
      <c r="J20" s="127"/>
      <c r="K20" s="127"/>
      <c r="L20" s="127"/>
    </row>
    <row r="21" spans="1:12" ht="15.5" customHeight="1" x14ac:dyDescent="0.25">
      <c r="A21" s="363" t="s">
        <v>406</v>
      </c>
      <c r="B21" s="364"/>
      <c r="C21" s="364"/>
      <c r="D21" s="364"/>
      <c r="E21" s="364"/>
      <c r="F21" s="364"/>
      <c r="G21" s="364"/>
      <c r="H21" s="364"/>
      <c r="I21" s="364"/>
      <c r="J21" s="364"/>
      <c r="K21" s="364"/>
      <c r="L21" s="364"/>
    </row>
    <row r="22" spans="1:12" ht="38" customHeight="1" x14ac:dyDescent="0.25">
      <c r="A22" s="116" t="s">
        <v>407</v>
      </c>
      <c r="B22" s="116" t="s">
        <v>408</v>
      </c>
      <c r="C22" s="116" t="s">
        <v>409</v>
      </c>
      <c r="D22" s="116" t="s">
        <v>410</v>
      </c>
      <c r="E22" s="116" t="s">
        <v>411</v>
      </c>
      <c r="F22" s="116" t="s">
        <v>412</v>
      </c>
      <c r="G22" s="116" t="s">
        <v>413</v>
      </c>
      <c r="H22" s="116" t="s">
        <v>414</v>
      </c>
      <c r="I22" s="116" t="s">
        <v>415</v>
      </c>
      <c r="J22" s="116" t="s">
        <v>416</v>
      </c>
      <c r="K22" s="116" t="s">
        <v>417</v>
      </c>
      <c r="L22" s="116" t="s">
        <v>418</v>
      </c>
    </row>
    <row r="23" spans="1:12" ht="15.5" customHeight="1" x14ac:dyDescent="0.25">
      <c r="A23" s="1" t="s">
        <v>419</v>
      </c>
      <c r="B23" s="1" t="s">
        <v>420</v>
      </c>
      <c r="C23" s="1" t="s">
        <v>421</v>
      </c>
      <c r="D23" s="194">
        <v>85</v>
      </c>
      <c r="E23" s="194">
        <v>90</v>
      </c>
      <c r="F23" s="194">
        <v>100</v>
      </c>
      <c r="G23" s="194">
        <v>1500</v>
      </c>
      <c r="H23" s="104">
        <v>1</v>
      </c>
      <c r="I23" s="104">
        <v>0.1</v>
      </c>
      <c r="J23" s="117">
        <v>3</v>
      </c>
      <c r="K23" s="194">
        <v>25</v>
      </c>
      <c r="L23" s="104">
        <v>0.5</v>
      </c>
    </row>
    <row r="24" spans="1:12" ht="15.5" customHeight="1" x14ac:dyDescent="0.25">
      <c r="A24" s="1" t="s">
        <v>422</v>
      </c>
      <c r="B24" s="1" t="s">
        <v>420</v>
      </c>
      <c r="C24" s="1" t="s">
        <v>423</v>
      </c>
      <c r="D24" s="194">
        <v>10</v>
      </c>
      <c r="E24" s="194">
        <v>20</v>
      </c>
      <c r="F24" s="194">
        <v>40</v>
      </c>
      <c r="G24" s="194">
        <v>25000</v>
      </c>
      <c r="H24" s="104">
        <v>0.1</v>
      </c>
      <c r="I24" s="104">
        <v>0.1</v>
      </c>
      <c r="J24" s="117">
        <v>3</v>
      </c>
      <c r="K24" s="194">
        <v>25</v>
      </c>
      <c r="L24" s="104">
        <v>0.5</v>
      </c>
    </row>
    <row r="25" spans="1:12" ht="15.5" customHeight="1" x14ac:dyDescent="0.25">
      <c r="A25" s="1" t="s">
        <v>424</v>
      </c>
      <c r="B25" s="1" t="s">
        <v>425</v>
      </c>
      <c r="C25" s="1" t="s">
        <v>421</v>
      </c>
      <c r="D25" s="194">
        <v>5</v>
      </c>
      <c r="E25" s="194">
        <v>15</v>
      </c>
      <c r="F25" s="194">
        <v>50</v>
      </c>
      <c r="G25" s="194">
        <v>50000</v>
      </c>
      <c r="H25" s="104">
        <v>1</v>
      </c>
      <c r="I25" s="104">
        <v>0.15</v>
      </c>
      <c r="J25" s="117">
        <v>4.2649999999999997</v>
      </c>
      <c r="K25" s="194">
        <v>50</v>
      </c>
      <c r="L25" s="104">
        <v>1</v>
      </c>
    </row>
    <row r="26" spans="1:12" ht="15.5" customHeight="1" x14ac:dyDescent="0.25">
      <c r="A26" s="1" t="s">
        <v>426</v>
      </c>
      <c r="B26" s="1" t="s">
        <v>425</v>
      </c>
      <c r="C26" s="1" t="s">
        <v>423</v>
      </c>
      <c r="D26" s="194">
        <v>303</v>
      </c>
      <c r="E26" s="194">
        <v>425</v>
      </c>
      <c r="F26" s="194">
        <v>600</v>
      </c>
      <c r="G26" s="194">
        <v>50000</v>
      </c>
      <c r="H26" s="104">
        <v>0.4</v>
      </c>
      <c r="I26" s="104">
        <v>0.15</v>
      </c>
      <c r="J26" s="117">
        <v>4.2649999999999997</v>
      </c>
      <c r="K26" s="194">
        <v>50</v>
      </c>
      <c r="L26" s="104">
        <v>1</v>
      </c>
    </row>
    <row r="27" spans="1:12" ht="15.5" customHeight="1" x14ac:dyDescent="0.25">
      <c r="A27" s="1" t="s">
        <v>427</v>
      </c>
      <c r="B27" s="1" t="s">
        <v>428</v>
      </c>
      <c r="C27" s="1" t="s">
        <v>421</v>
      </c>
      <c r="D27" s="194">
        <v>10</v>
      </c>
      <c r="E27" s="194">
        <v>30</v>
      </c>
      <c r="F27" s="194">
        <v>100</v>
      </c>
      <c r="G27" s="194">
        <v>50000</v>
      </c>
      <c r="H27" s="104">
        <v>1</v>
      </c>
      <c r="I27" s="104">
        <v>0.1</v>
      </c>
      <c r="J27" s="117">
        <v>3</v>
      </c>
      <c r="K27" s="194">
        <v>17</v>
      </c>
      <c r="L27" s="104">
        <v>1</v>
      </c>
    </row>
    <row r="28" spans="1:12" ht="15.5" customHeight="1" x14ac:dyDescent="0.25">
      <c r="A28" s="1" t="s">
        <v>429</v>
      </c>
      <c r="B28" s="1" t="s">
        <v>428</v>
      </c>
      <c r="C28" s="1" t="s">
        <v>423</v>
      </c>
      <c r="D28" s="194">
        <v>10</v>
      </c>
      <c r="E28" s="194">
        <v>30</v>
      </c>
      <c r="F28" s="194">
        <v>100</v>
      </c>
      <c r="G28" s="194">
        <v>75000</v>
      </c>
      <c r="H28" s="104">
        <v>0.2</v>
      </c>
      <c r="I28" s="104">
        <v>0.1</v>
      </c>
      <c r="J28" s="117">
        <v>3</v>
      </c>
      <c r="K28" s="194">
        <v>17</v>
      </c>
      <c r="L28" s="104">
        <v>1</v>
      </c>
    </row>
    <row r="29" spans="1:12" ht="15.5" customHeight="1" x14ac:dyDescent="0.25">
      <c r="A29" s="1"/>
      <c r="B29" s="1"/>
      <c r="C29" s="1"/>
      <c r="D29" s="1"/>
      <c r="E29" s="1"/>
      <c r="F29" s="1"/>
      <c r="G29" s="1"/>
      <c r="H29" s="1"/>
      <c r="I29" s="1"/>
      <c r="J29" s="1"/>
      <c r="K29" s="1"/>
      <c r="L29" s="1"/>
    </row>
    <row r="30" spans="1:12" ht="15.5" customHeight="1" x14ac:dyDescent="0.25">
      <c r="A30" s="1"/>
      <c r="B30" s="1"/>
      <c r="C30" s="1"/>
      <c r="D30" s="1"/>
      <c r="E30" s="1"/>
      <c r="F30" s="1"/>
      <c r="G30" s="1"/>
      <c r="H30" s="1"/>
      <c r="I30" s="1"/>
      <c r="J30" s="1"/>
      <c r="K30" s="1"/>
      <c r="L30" s="1"/>
    </row>
    <row r="31" spans="1:12" ht="15.5" customHeight="1" x14ac:dyDescent="0.25">
      <c r="A31" s="359" t="s">
        <v>430</v>
      </c>
      <c r="B31" s="359"/>
      <c r="C31" s="359"/>
      <c r="D31" s="359"/>
      <c r="E31" s="359"/>
      <c r="F31" s="122"/>
      <c r="G31" s="1"/>
      <c r="H31" s="1"/>
      <c r="I31" s="1"/>
      <c r="J31" s="1"/>
      <c r="K31" s="1"/>
      <c r="L31" s="1"/>
    </row>
    <row r="32" spans="1:12" ht="15.5" customHeight="1" x14ac:dyDescent="0.25">
      <c r="A32" s="113" t="s">
        <v>350</v>
      </c>
      <c r="B32" s="113" t="s">
        <v>99</v>
      </c>
      <c r="C32" s="113" t="s">
        <v>253</v>
      </c>
      <c r="D32" s="113" t="s">
        <v>431</v>
      </c>
      <c r="E32" s="113" t="s">
        <v>432</v>
      </c>
      <c r="F32" s="1"/>
      <c r="G32" s="1"/>
      <c r="H32" s="1"/>
      <c r="I32" s="1"/>
      <c r="J32" s="1"/>
      <c r="K32" s="1"/>
      <c r="L32" s="1"/>
    </row>
    <row r="33" spans="1:12" ht="15.5" customHeight="1" x14ac:dyDescent="0.25">
      <c r="A33" s="1" t="s">
        <v>433</v>
      </c>
      <c r="B33" s="1" t="s">
        <v>15</v>
      </c>
      <c r="C33" s="104">
        <v>0.18</v>
      </c>
      <c r="D33" s="104">
        <v>0.2</v>
      </c>
      <c r="E33" s="104">
        <v>0.22</v>
      </c>
      <c r="F33" s="1"/>
      <c r="G33" s="1"/>
      <c r="H33" s="1"/>
      <c r="I33" s="1"/>
      <c r="J33" s="1"/>
      <c r="K33" s="1"/>
      <c r="L33" s="1"/>
    </row>
    <row r="34" spans="1:12" ht="15.5" customHeight="1" x14ac:dyDescent="0.25">
      <c r="A34" s="1" t="s">
        <v>434</v>
      </c>
      <c r="B34" s="1" t="s">
        <v>435</v>
      </c>
      <c r="C34" s="104">
        <v>0.03</v>
      </c>
      <c r="D34" s="104">
        <v>3.7499999999999999E-2</v>
      </c>
      <c r="E34" s="104">
        <v>4.2000000000000003E-2</v>
      </c>
      <c r="F34" s="1"/>
      <c r="G34" s="1"/>
      <c r="H34" s="1"/>
      <c r="I34" s="1"/>
      <c r="J34" s="1"/>
      <c r="K34" s="1"/>
      <c r="L34" s="1"/>
    </row>
    <row r="35" spans="1:12" ht="15.5" customHeight="1" x14ac:dyDescent="0.25">
      <c r="A35" s="1" t="s">
        <v>436</v>
      </c>
      <c r="B35" s="1" t="s">
        <v>15</v>
      </c>
      <c r="C35" s="104">
        <v>0</v>
      </c>
      <c r="D35" s="104">
        <v>0.05</v>
      </c>
      <c r="E35" s="104">
        <v>0.1</v>
      </c>
      <c r="F35" s="1"/>
      <c r="G35" s="1"/>
      <c r="H35" s="1"/>
      <c r="I35" s="1"/>
      <c r="J35" s="1"/>
      <c r="K35" s="1"/>
      <c r="L35" s="1"/>
    </row>
    <row r="36" spans="1:12" ht="15.5" customHeight="1" x14ac:dyDescent="0.25">
      <c r="A36" s="1"/>
      <c r="B36" s="1"/>
      <c r="C36" s="1"/>
      <c r="D36" s="1"/>
      <c r="E36" s="1"/>
      <c r="F36" s="1"/>
      <c r="G36" s="1"/>
      <c r="H36" s="1"/>
      <c r="I36" s="1"/>
      <c r="J36" s="1"/>
      <c r="K36" s="1"/>
      <c r="L36" s="1"/>
    </row>
    <row r="37" spans="1:12" ht="15.5" customHeight="1" x14ac:dyDescent="0.25">
      <c r="A37" s="1"/>
      <c r="B37" s="1"/>
      <c r="C37" s="1"/>
      <c r="D37" s="1"/>
      <c r="E37" s="1"/>
      <c r="F37" s="1"/>
      <c r="G37" s="1"/>
      <c r="H37" s="1"/>
      <c r="I37" s="1"/>
      <c r="J37" s="1"/>
      <c r="K37" s="1"/>
      <c r="L37" s="1"/>
    </row>
    <row r="38" spans="1:12" ht="15.5" customHeight="1" x14ac:dyDescent="0.25">
      <c r="A38" s="361" t="s">
        <v>437</v>
      </c>
      <c r="B38" s="361"/>
      <c r="C38" s="361"/>
      <c r="D38" s="361"/>
      <c r="E38" s="361"/>
      <c r="F38" s="361"/>
      <c r="G38" s="361"/>
      <c r="H38" s="361"/>
      <c r="I38" s="361"/>
      <c r="J38" s="361"/>
      <c r="K38" s="361"/>
      <c r="L38" s="361"/>
    </row>
    <row r="39" spans="1:12" ht="15.5" customHeight="1" x14ac:dyDescent="0.25">
      <c r="A39" s="118" t="s">
        <v>438</v>
      </c>
      <c r="B39" s="161" t="s">
        <v>439</v>
      </c>
      <c r="C39" s="161" t="s">
        <v>440</v>
      </c>
      <c r="D39" s="161" t="s">
        <v>32</v>
      </c>
      <c r="E39" s="161" t="s">
        <v>441</v>
      </c>
      <c r="F39" s="161" t="s">
        <v>442</v>
      </c>
      <c r="G39" s="360" t="s">
        <v>443</v>
      </c>
      <c r="H39" s="360"/>
      <c r="I39" s="360"/>
      <c r="J39" s="362" t="s">
        <v>444</v>
      </c>
      <c r="K39" s="362"/>
      <c r="L39" s="362"/>
    </row>
    <row r="40" spans="1:12" ht="54.5" customHeight="1" x14ac:dyDescent="0.25">
      <c r="A40" s="119" t="s">
        <v>260</v>
      </c>
      <c r="B40" s="195">
        <v>192000</v>
      </c>
      <c r="C40" s="195">
        <v>459875</v>
      </c>
      <c r="D40" s="195">
        <v>795250</v>
      </c>
      <c r="E40" s="195">
        <v>1610630.5</v>
      </c>
      <c r="F40" s="195">
        <v>2124004</v>
      </c>
      <c r="G40" s="352" t="s">
        <v>445</v>
      </c>
      <c r="H40" s="352"/>
      <c r="I40" s="352"/>
      <c r="J40" s="355" t="s">
        <v>446</v>
      </c>
      <c r="K40" s="355"/>
      <c r="L40" s="355"/>
    </row>
    <row r="41" spans="1:12" ht="54.5" customHeight="1" x14ac:dyDescent="0.25">
      <c r="A41" s="119" t="s">
        <v>185</v>
      </c>
      <c r="B41" s="195">
        <v>9375</v>
      </c>
      <c r="C41" s="195">
        <v>24375</v>
      </c>
      <c r="D41" s="195">
        <v>26250</v>
      </c>
      <c r="E41" s="195">
        <v>29062.5</v>
      </c>
      <c r="F41" s="195">
        <v>34687.5</v>
      </c>
      <c r="G41" s="352" t="s">
        <v>447</v>
      </c>
      <c r="H41" s="352"/>
      <c r="I41" s="352"/>
      <c r="J41" s="355" t="s">
        <v>448</v>
      </c>
      <c r="K41" s="355"/>
      <c r="L41" s="355"/>
    </row>
    <row r="42" spans="1:12" ht="54.5" customHeight="1" x14ac:dyDescent="0.25">
      <c r="A42" s="119" t="s">
        <v>449</v>
      </c>
      <c r="B42" s="195">
        <v>6900</v>
      </c>
      <c r="C42" s="195">
        <v>16800</v>
      </c>
      <c r="D42" s="195">
        <v>21600</v>
      </c>
      <c r="E42" s="195">
        <v>21600</v>
      </c>
      <c r="F42" s="195">
        <v>33600</v>
      </c>
      <c r="G42" s="352" t="s">
        <v>450</v>
      </c>
      <c r="H42" s="352"/>
      <c r="I42" s="352"/>
      <c r="J42" s="355" t="s">
        <v>451</v>
      </c>
      <c r="K42" s="355"/>
      <c r="L42" s="355"/>
    </row>
    <row r="43" spans="1:12" ht="54.5" customHeight="1" x14ac:dyDescent="0.25">
      <c r="A43" s="119" t="s">
        <v>452</v>
      </c>
      <c r="B43" s="195">
        <v>7500</v>
      </c>
      <c r="C43" s="195">
        <v>21750</v>
      </c>
      <c r="D43" s="195">
        <v>24000</v>
      </c>
      <c r="E43" s="195">
        <v>26250</v>
      </c>
      <c r="F43" s="195">
        <v>32250</v>
      </c>
      <c r="G43" s="352" t="s">
        <v>453</v>
      </c>
      <c r="H43" s="352"/>
      <c r="I43" s="352"/>
      <c r="J43" s="355" t="s">
        <v>454</v>
      </c>
      <c r="K43" s="355"/>
      <c r="L43" s="355"/>
    </row>
    <row r="44" spans="1:12" ht="54.5" customHeight="1" x14ac:dyDescent="0.25">
      <c r="A44" s="119" t="s">
        <v>455</v>
      </c>
      <c r="B44" s="195">
        <v>5520</v>
      </c>
      <c r="C44" s="195">
        <v>8000</v>
      </c>
      <c r="D44" s="195">
        <v>10000</v>
      </c>
      <c r="E44" s="195">
        <v>12000</v>
      </c>
      <c r="F44" s="195">
        <v>15000</v>
      </c>
      <c r="G44" s="352" t="s">
        <v>456</v>
      </c>
      <c r="H44" s="352"/>
      <c r="I44" s="352"/>
      <c r="J44" s="355" t="s">
        <v>457</v>
      </c>
      <c r="K44" s="355"/>
      <c r="L44" s="355"/>
    </row>
    <row r="45" spans="1:12" ht="54.5" customHeight="1" x14ac:dyDescent="0.25">
      <c r="A45" s="119" t="s">
        <v>458</v>
      </c>
      <c r="B45" s="195">
        <v>82800</v>
      </c>
      <c r="C45" s="195">
        <v>160000</v>
      </c>
      <c r="D45" s="195">
        <v>235000</v>
      </c>
      <c r="E45" s="195">
        <v>350000</v>
      </c>
      <c r="F45" s="195">
        <v>540000</v>
      </c>
      <c r="G45" s="352" t="s">
        <v>459</v>
      </c>
      <c r="H45" s="352"/>
      <c r="I45" s="352"/>
      <c r="J45" s="355" t="s">
        <v>460</v>
      </c>
      <c r="K45" s="355"/>
      <c r="L45" s="355"/>
    </row>
    <row r="46" spans="1:12" ht="54.5" customHeight="1" x14ac:dyDescent="0.25">
      <c r="A46" s="119" t="s">
        <v>461</v>
      </c>
      <c r="B46" s="195">
        <v>13800</v>
      </c>
      <c r="C46" s="195">
        <v>45000</v>
      </c>
      <c r="D46" s="195">
        <v>70000</v>
      </c>
      <c r="E46" s="195">
        <v>105000</v>
      </c>
      <c r="F46" s="195">
        <v>170000</v>
      </c>
      <c r="G46" s="352" t="s">
        <v>462</v>
      </c>
      <c r="H46" s="352"/>
      <c r="I46" s="352"/>
      <c r="J46" s="355" t="s">
        <v>463</v>
      </c>
      <c r="K46" s="355"/>
      <c r="L46" s="355"/>
    </row>
    <row r="47" spans="1:12" ht="54.5" customHeight="1" x14ac:dyDescent="0.25">
      <c r="A47" s="119" t="s">
        <v>198</v>
      </c>
      <c r="B47" s="195">
        <v>80000</v>
      </c>
      <c r="C47" s="195">
        <v>0</v>
      </c>
      <c r="D47" s="195">
        <v>0</v>
      </c>
      <c r="E47" s="195">
        <v>0</v>
      </c>
      <c r="F47" s="195">
        <v>0</v>
      </c>
      <c r="G47" s="352" t="s">
        <v>464</v>
      </c>
      <c r="H47" s="352"/>
      <c r="I47" s="352"/>
      <c r="J47" s="355" t="s">
        <v>465</v>
      </c>
      <c r="K47" s="355"/>
      <c r="L47" s="355"/>
    </row>
    <row r="48" spans="1:12" ht="54.5" customHeight="1" x14ac:dyDescent="0.25">
      <c r="A48" s="119" t="s">
        <v>466</v>
      </c>
      <c r="B48" s="195">
        <v>55200</v>
      </c>
      <c r="C48" s="195">
        <v>100000</v>
      </c>
      <c r="D48" s="195">
        <v>200000</v>
      </c>
      <c r="E48" s="195">
        <v>300000</v>
      </c>
      <c r="F48" s="195">
        <v>420000</v>
      </c>
      <c r="G48" s="352" t="s">
        <v>467</v>
      </c>
      <c r="H48" s="352"/>
      <c r="I48" s="352"/>
      <c r="J48" s="355" t="s">
        <v>468</v>
      </c>
      <c r="K48" s="355"/>
      <c r="L48" s="355"/>
    </row>
    <row r="49" spans="1:12" ht="54.5" customHeight="1" x14ac:dyDescent="0.25">
      <c r="A49" s="119" t="s">
        <v>469</v>
      </c>
      <c r="B49" s="195">
        <v>450</v>
      </c>
      <c r="C49" s="195">
        <v>450</v>
      </c>
      <c r="D49" s="195">
        <v>5650</v>
      </c>
      <c r="E49" s="195">
        <v>8715</v>
      </c>
      <c r="F49" s="195">
        <v>8715</v>
      </c>
      <c r="G49" s="352" t="s">
        <v>470</v>
      </c>
      <c r="H49" s="352"/>
      <c r="I49" s="352"/>
      <c r="J49" s="355" t="s">
        <v>471</v>
      </c>
      <c r="K49" s="355"/>
      <c r="L49" s="355"/>
    </row>
    <row r="50" spans="1:12" ht="54.5" customHeight="1" x14ac:dyDescent="0.25">
      <c r="A50" s="119" t="s">
        <v>472</v>
      </c>
      <c r="B50" s="195">
        <v>225</v>
      </c>
      <c r="C50" s="195">
        <v>225</v>
      </c>
      <c r="D50" s="195">
        <v>225</v>
      </c>
      <c r="E50" s="195">
        <v>225</v>
      </c>
      <c r="F50" s="195">
        <v>225</v>
      </c>
      <c r="G50" s="352" t="s">
        <v>473</v>
      </c>
      <c r="H50" s="352"/>
      <c r="I50" s="352"/>
      <c r="J50" s="355" t="s">
        <v>474</v>
      </c>
      <c r="K50" s="355"/>
      <c r="L50" s="355"/>
    </row>
    <row r="51" spans="1:12" ht="54.5" customHeight="1" x14ac:dyDescent="0.25">
      <c r="A51" s="119" t="s">
        <v>475</v>
      </c>
      <c r="B51" s="195">
        <v>13800</v>
      </c>
      <c r="C51" s="195">
        <v>35000</v>
      </c>
      <c r="D51" s="195">
        <v>80000</v>
      </c>
      <c r="E51" s="195">
        <v>120000</v>
      </c>
      <c r="F51" s="195">
        <v>170000</v>
      </c>
      <c r="G51" s="352" t="s">
        <v>476</v>
      </c>
      <c r="H51" s="352"/>
      <c r="I51" s="352"/>
      <c r="J51" s="355" t="s">
        <v>477</v>
      </c>
      <c r="K51" s="355"/>
      <c r="L51" s="355"/>
    </row>
    <row r="52" spans="1:12" ht="54.5" customHeight="1" x14ac:dyDescent="0.25">
      <c r="A52" s="119" t="s">
        <v>189</v>
      </c>
      <c r="B52" s="195">
        <v>90000</v>
      </c>
      <c r="C52" s="195">
        <v>250000</v>
      </c>
      <c r="D52" s="195">
        <v>400000</v>
      </c>
      <c r="E52" s="195">
        <v>300000</v>
      </c>
      <c r="F52" s="195">
        <v>250000</v>
      </c>
      <c r="G52" s="352" t="s">
        <v>478</v>
      </c>
      <c r="H52" s="352"/>
      <c r="I52" s="352"/>
      <c r="J52" s="355" t="s">
        <v>479</v>
      </c>
      <c r="K52" s="355"/>
      <c r="L52" s="355"/>
    </row>
    <row r="53" spans="1:12" ht="54.5" customHeight="1" x14ac:dyDescent="0.25">
      <c r="A53" s="119" t="s">
        <v>195</v>
      </c>
      <c r="B53" s="195">
        <v>17250</v>
      </c>
      <c r="C53" s="195">
        <v>359000</v>
      </c>
      <c r="D53" s="195">
        <v>920000</v>
      </c>
      <c r="E53" s="195">
        <v>1000000</v>
      </c>
      <c r="F53" s="195">
        <v>1100000</v>
      </c>
      <c r="G53" s="352" t="s">
        <v>480</v>
      </c>
      <c r="H53" s="352"/>
      <c r="I53" s="352"/>
      <c r="J53" s="355" t="s">
        <v>481</v>
      </c>
      <c r="K53" s="355"/>
      <c r="L53" s="355"/>
    </row>
    <row r="54" spans="1:12" ht="54.5" customHeight="1" x14ac:dyDescent="0.25">
      <c r="A54" s="119" t="s">
        <v>482</v>
      </c>
      <c r="B54" s="195">
        <v>0</v>
      </c>
      <c r="C54" s="195">
        <v>0</v>
      </c>
      <c r="D54" s="195">
        <v>0</v>
      </c>
      <c r="E54" s="195">
        <v>0</v>
      </c>
      <c r="F54" s="195">
        <v>0</v>
      </c>
      <c r="G54" s="352" t="s">
        <v>483</v>
      </c>
      <c r="H54" s="352"/>
      <c r="I54" s="352"/>
      <c r="J54" s="355" t="s">
        <v>484</v>
      </c>
      <c r="K54" s="355"/>
      <c r="L54" s="355"/>
    </row>
    <row r="55" spans="1:12" ht="54.5" customHeight="1" x14ac:dyDescent="0.25">
      <c r="A55" s="160" t="s">
        <v>485</v>
      </c>
      <c r="B55" s="196">
        <v>0</v>
      </c>
      <c r="C55" s="196">
        <v>0</v>
      </c>
      <c r="D55" s="196">
        <v>0</v>
      </c>
      <c r="E55" s="196">
        <v>0</v>
      </c>
      <c r="F55" s="196">
        <v>0</v>
      </c>
      <c r="G55" s="357" t="s">
        <v>486</v>
      </c>
      <c r="H55" s="357"/>
      <c r="I55" s="357"/>
      <c r="J55" s="356" t="s">
        <v>487</v>
      </c>
      <c r="K55" s="356"/>
      <c r="L55" s="356"/>
    </row>
    <row r="56" spans="1:12" ht="54.5" customHeight="1" x14ac:dyDescent="0.25">
      <c r="A56" s="119" t="s">
        <v>488</v>
      </c>
      <c r="B56" s="195"/>
      <c r="C56" s="195"/>
      <c r="D56" s="195"/>
      <c r="E56" s="195"/>
      <c r="F56" s="195"/>
      <c r="G56" s="352" t="s">
        <v>489</v>
      </c>
      <c r="H56" s="352"/>
      <c r="I56" s="352"/>
      <c r="J56" s="355" t="s">
        <v>490</v>
      </c>
      <c r="K56" s="355"/>
      <c r="L56" s="355"/>
    </row>
    <row r="57" spans="1:12" ht="54.5" customHeight="1" x14ac:dyDescent="0.25">
      <c r="A57" s="119" t="s">
        <v>491</v>
      </c>
      <c r="B57" s="195">
        <v>0</v>
      </c>
      <c r="C57" s="195">
        <v>0</v>
      </c>
      <c r="D57" s="195">
        <v>0</v>
      </c>
      <c r="E57" s="195">
        <v>0</v>
      </c>
      <c r="F57" s="195">
        <v>0</v>
      </c>
      <c r="G57" s="352" t="s">
        <v>492</v>
      </c>
      <c r="H57" s="352"/>
      <c r="I57" s="352"/>
      <c r="J57" s="355" t="s">
        <v>493</v>
      </c>
      <c r="K57" s="355"/>
      <c r="L57" s="355"/>
    </row>
    <row r="58" spans="1:12" ht="54.5" customHeight="1" x14ac:dyDescent="0.25">
      <c r="A58" s="120"/>
      <c r="B58" s="195"/>
      <c r="C58" s="195"/>
      <c r="D58" s="195"/>
      <c r="E58" s="195"/>
      <c r="F58" s="195"/>
      <c r="G58" s="353"/>
      <c r="H58" s="353"/>
      <c r="I58" s="353"/>
      <c r="J58" s="354"/>
      <c r="K58" s="354"/>
      <c r="L58" s="354"/>
    </row>
    <row r="59" spans="1:12" ht="54.5" customHeight="1" x14ac:dyDescent="0.25">
      <c r="A59" s="1" t="s">
        <v>494</v>
      </c>
      <c r="B59" s="195">
        <v>0</v>
      </c>
      <c r="C59" s="195">
        <v>0</v>
      </c>
      <c r="D59" s="195">
        <v>0</v>
      </c>
      <c r="E59" s="195">
        <v>0</v>
      </c>
      <c r="F59" s="195">
        <v>0</v>
      </c>
      <c r="G59" s="351" t="s">
        <v>495</v>
      </c>
      <c r="H59" s="351"/>
      <c r="I59" s="351"/>
      <c r="J59" s="354" t="s">
        <v>496</v>
      </c>
      <c r="K59" s="354"/>
      <c r="L59" s="354"/>
    </row>
    <row r="60" spans="1:12" ht="54.5" customHeight="1" x14ac:dyDescent="0.25">
      <c r="A60" s="1" t="s">
        <v>497</v>
      </c>
      <c r="B60" s="195">
        <v>0</v>
      </c>
      <c r="C60" s="195">
        <v>0</v>
      </c>
      <c r="D60" s="195">
        <v>0</v>
      </c>
      <c r="E60" s="195">
        <v>0</v>
      </c>
      <c r="F60" s="195">
        <v>0</v>
      </c>
      <c r="G60" s="351" t="s">
        <v>498</v>
      </c>
      <c r="H60" s="351"/>
      <c r="I60" s="351"/>
      <c r="J60" s="354" t="s">
        <v>496</v>
      </c>
      <c r="K60" s="354"/>
      <c r="L60" s="354"/>
    </row>
    <row r="61" spans="1:12" s="122" customFormat="1" ht="15.5" customHeight="1" x14ac:dyDescent="0.25">
      <c r="A61" s="127"/>
      <c r="B61" s="127"/>
      <c r="C61" s="127"/>
      <c r="D61" s="127"/>
      <c r="E61" s="127"/>
      <c r="F61" s="127"/>
      <c r="G61" s="127"/>
      <c r="H61" s="127"/>
      <c r="I61" s="127"/>
      <c r="J61" s="127"/>
      <c r="K61" s="127"/>
      <c r="L61" s="127"/>
    </row>
    <row r="62" spans="1:12" ht="15.5" customHeight="1" x14ac:dyDescent="0.25">
      <c r="A62" s="359" t="s">
        <v>499</v>
      </c>
      <c r="B62" s="359"/>
      <c r="C62" s="359"/>
      <c r="D62" s="359"/>
      <c r="E62" s="359"/>
      <c r="F62" s="359"/>
      <c r="G62" s="359"/>
      <c r="H62" s="359"/>
      <c r="I62" s="359"/>
      <c r="J62" s="359"/>
      <c r="K62" s="359"/>
      <c r="L62" s="359"/>
    </row>
    <row r="63" spans="1:12" ht="15.5" customHeight="1" x14ac:dyDescent="0.25">
      <c r="A63" s="121" t="s">
        <v>500</v>
      </c>
      <c r="B63" s="358" t="s">
        <v>501</v>
      </c>
      <c r="C63" s="358"/>
      <c r="D63" s="358"/>
      <c r="E63" s="358" t="s">
        <v>502</v>
      </c>
      <c r="F63" s="358"/>
      <c r="G63" s="358"/>
      <c r="H63" s="358"/>
      <c r="I63" s="358" t="s">
        <v>100</v>
      </c>
      <c r="J63" s="358"/>
      <c r="K63" s="358"/>
      <c r="L63" s="358"/>
    </row>
    <row r="64" spans="1:12" ht="33" customHeight="1" x14ac:dyDescent="0.25">
      <c r="A64" s="4" t="s">
        <v>503</v>
      </c>
      <c r="B64" s="351" t="s">
        <v>44</v>
      </c>
      <c r="C64" s="351"/>
      <c r="D64" s="351"/>
      <c r="E64" s="351" t="s">
        <v>36</v>
      </c>
      <c r="F64" s="351"/>
      <c r="G64" s="351"/>
      <c r="H64" s="351"/>
      <c r="I64" s="351" t="s">
        <v>504</v>
      </c>
      <c r="J64" s="351"/>
      <c r="K64" s="351"/>
      <c r="L64" s="351"/>
    </row>
    <row r="65" spans="1:12" ht="33" customHeight="1" x14ac:dyDescent="0.25">
      <c r="A65" s="4" t="s">
        <v>505</v>
      </c>
      <c r="B65" s="351" t="s">
        <v>37</v>
      </c>
      <c r="C65" s="351"/>
      <c r="D65" s="351"/>
      <c r="E65" s="351" t="s">
        <v>38</v>
      </c>
      <c r="F65" s="351"/>
      <c r="G65" s="351"/>
      <c r="H65" s="351"/>
      <c r="I65" s="351" t="s">
        <v>506</v>
      </c>
      <c r="J65" s="351"/>
      <c r="K65" s="351"/>
      <c r="L65" s="351"/>
    </row>
    <row r="66" spans="1:12" ht="33" customHeight="1" x14ac:dyDescent="0.25">
      <c r="A66" s="4" t="s">
        <v>279</v>
      </c>
      <c r="B66" s="351" t="s">
        <v>39</v>
      </c>
      <c r="C66" s="351"/>
      <c r="D66" s="351"/>
      <c r="E66" s="351" t="s">
        <v>40</v>
      </c>
      <c r="F66" s="351"/>
      <c r="G66" s="351"/>
      <c r="H66" s="351"/>
      <c r="I66" s="351" t="s">
        <v>507</v>
      </c>
      <c r="J66" s="351"/>
      <c r="K66" s="351"/>
      <c r="L66" s="351"/>
    </row>
    <row r="67" spans="1:12" ht="33" customHeight="1" x14ac:dyDescent="0.25">
      <c r="A67" s="4" t="s">
        <v>508</v>
      </c>
      <c r="B67" s="351" t="s">
        <v>41</v>
      </c>
      <c r="C67" s="351"/>
      <c r="D67" s="351"/>
      <c r="E67" s="351" t="s">
        <v>42</v>
      </c>
      <c r="F67" s="351"/>
      <c r="G67" s="351"/>
      <c r="H67" s="351"/>
      <c r="I67" s="351" t="s">
        <v>509</v>
      </c>
      <c r="J67" s="351"/>
      <c r="K67" s="351"/>
      <c r="L67" s="351"/>
    </row>
    <row r="68" spans="1:12" ht="33" customHeight="1" x14ac:dyDescent="0.25">
      <c r="A68" s="4" t="s">
        <v>510</v>
      </c>
      <c r="B68" s="351" t="s">
        <v>511</v>
      </c>
      <c r="C68" s="351"/>
      <c r="D68" s="351"/>
      <c r="E68" s="351" t="s">
        <v>43</v>
      </c>
      <c r="F68" s="351"/>
      <c r="G68" s="351"/>
      <c r="H68" s="351"/>
      <c r="I68" s="351" t="s">
        <v>512</v>
      </c>
      <c r="J68" s="351"/>
      <c r="K68" s="351"/>
      <c r="L68" s="351"/>
    </row>
  </sheetData>
  <mergeCells count="69">
    <mergeCell ref="G51:I51"/>
    <mergeCell ref="G52:I52"/>
    <mergeCell ref="A21:L21"/>
    <mergeCell ref="A1:L1"/>
    <mergeCell ref="A3:L4"/>
    <mergeCell ref="A31:E31"/>
    <mergeCell ref="G40:I40"/>
    <mergeCell ref="G41:I41"/>
    <mergeCell ref="G42:I42"/>
    <mergeCell ref="G43:I43"/>
    <mergeCell ref="G44:I44"/>
    <mergeCell ref="G45:I45"/>
    <mergeCell ref="G46:I46"/>
    <mergeCell ref="G47:I47"/>
    <mergeCell ref="J49:L49"/>
    <mergeCell ref="J50:L50"/>
    <mergeCell ref="G48:I48"/>
    <mergeCell ref="G49:I49"/>
    <mergeCell ref="G50:I50"/>
    <mergeCell ref="J44:L44"/>
    <mergeCell ref="J45:L45"/>
    <mergeCell ref="J46:L46"/>
    <mergeCell ref="J47:L47"/>
    <mergeCell ref="J48:L48"/>
    <mergeCell ref="J39:L39"/>
    <mergeCell ref="J40:L40"/>
    <mergeCell ref="J41:L41"/>
    <mergeCell ref="J42:L42"/>
    <mergeCell ref="J43:L43"/>
    <mergeCell ref="A6:L6"/>
    <mergeCell ref="B63:D63"/>
    <mergeCell ref="B64:D64"/>
    <mergeCell ref="B65:D65"/>
    <mergeCell ref="B66:D66"/>
    <mergeCell ref="I63:L63"/>
    <mergeCell ref="I64:L64"/>
    <mergeCell ref="I65:L65"/>
    <mergeCell ref="I66:L66"/>
    <mergeCell ref="J56:L56"/>
    <mergeCell ref="J57:L57"/>
    <mergeCell ref="A62:L62"/>
    <mergeCell ref="G39:I39"/>
    <mergeCell ref="A38:L38"/>
    <mergeCell ref="J51:L51"/>
    <mergeCell ref="J52:L52"/>
    <mergeCell ref="B67:D67"/>
    <mergeCell ref="B68:D68"/>
    <mergeCell ref="E63:H63"/>
    <mergeCell ref="E64:H64"/>
    <mergeCell ref="E65:H65"/>
    <mergeCell ref="E66:H66"/>
    <mergeCell ref="E67:H67"/>
    <mergeCell ref="E68:H68"/>
    <mergeCell ref="I67:L67"/>
    <mergeCell ref="I68:L68"/>
    <mergeCell ref="G53:I53"/>
    <mergeCell ref="G58:I58"/>
    <mergeCell ref="J58:L58"/>
    <mergeCell ref="J59:L59"/>
    <mergeCell ref="G60:I60"/>
    <mergeCell ref="J60:L60"/>
    <mergeCell ref="G59:I59"/>
    <mergeCell ref="J53:L53"/>
    <mergeCell ref="J54:L54"/>
    <mergeCell ref="J55:L55"/>
    <mergeCell ref="G54:I54"/>
    <mergeCell ref="G55:I55"/>
    <mergeCell ref="G56:I56"/>
    <mergeCell ref="G57:I5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2"/>
  <sheetViews>
    <sheetView workbookViewId="0">
      <selection sqref="A1:G1"/>
    </sheetView>
  </sheetViews>
  <sheetFormatPr defaultRowHeight="12.5" x14ac:dyDescent="0.25"/>
  <cols>
    <col min="1" max="1" width="44" style="1" customWidth="1"/>
    <col min="2" max="2" width="14" style="1" customWidth="1"/>
    <col min="3" max="7" width="17" style="1" customWidth="1"/>
    <col min="8" max="16384" width="8.7265625" style="1"/>
  </cols>
  <sheetData>
    <row r="1" spans="1:7" ht="19.5" customHeight="1" x14ac:dyDescent="0.25">
      <c r="A1" s="365" t="s">
        <v>513</v>
      </c>
      <c r="B1" s="368"/>
      <c r="C1" s="368"/>
      <c r="D1" s="368"/>
      <c r="E1" s="368"/>
      <c r="F1" s="368"/>
      <c r="G1" s="368"/>
    </row>
    <row r="2" spans="1:7" ht="15.5" customHeight="1" x14ac:dyDescent="0.25">
      <c r="A2"/>
      <c r="B2"/>
      <c r="C2"/>
      <c r="D2"/>
      <c r="E2"/>
      <c r="F2"/>
      <c r="G2"/>
    </row>
    <row r="3" spans="1:7" ht="15.5" customHeight="1" x14ac:dyDescent="0.25">
      <c r="A3" s="366" t="s">
        <v>514</v>
      </c>
      <c r="B3" s="369"/>
      <c r="C3" s="369"/>
      <c r="D3" s="369"/>
      <c r="E3" s="369"/>
      <c r="F3" s="369"/>
      <c r="G3" s="369"/>
    </row>
    <row r="4" spans="1:7" ht="15.5" customHeight="1" x14ac:dyDescent="0.25">
      <c r="A4" s="369"/>
      <c r="B4" s="369"/>
      <c r="C4" s="369"/>
      <c r="D4" s="369"/>
      <c r="E4" s="369"/>
      <c r="F4" s="369"/>
      <c r="G4" s="369"/>
    </row>
    <row r="5" spans="1:7" ht="15.5" customHeight="1" x14ac:dyDescent="0.25">
      <c r="A5"/>
      <c r="B5"/>
      <c r="C5"/>
      <c r="D5"/>
      <c r="E5"/>
      <c r="F5"/>
      <c r="G5"/>
    </row>
    <row r="6" spans="1:7" ht="15.5" customHeight="1" x14ac:dyDescent="0.25">
      <c r="A6" s="173" t="s">
        <v>515</v>
      </c>
      <c r="B6" s="169" t="s">
        <v>99</v>
      </c>
      <c r="C6" s="167" t="s">
        <v>439</v>
      </c>
      <c r="D6" s="167" t="s">
        <v>440</v>
      </c>
      <c r="E6" s="167" t="s">
        <v>32</v>
      </c>
      <c r="F6" s="167" t="s">
        <v>441</v>
      </c>
      <c r="G6" s="168" t="s">
        <v>442</v>
      </c>
    </row>
    <row r="7" spans="1:7" ht="15.5" customHeight="1" x14ac:dyDescent="0.25">
      <c r="A7" s="163" t="s">
        <v>516</v>
      </c>
      <c r="B7" s="157" t="s">
        <v>33</v>
      </c>
      <c r="C7" s="194">
        <f>C11-C8-C9-C10</f>
        <v>250080.24249999999</v>
      </c>
      <c r="D7" s="194">
        <f>D11-D8-D9-D10</f>
        <v>10208206.288028836</v>
      </c>
      <c r="E7" s="194">
        <f>E11-E8-E9-E10</f>
        <v>28344842.178557575</v>
      </c>
      <c r="F7" s="2">
        <f>F11-F8-F9-F10</f>
        <v>47119999.75</v>
      </c>
      <c r="G7" s="2">
        <f>G11-G8-G9-G10</f>
        <v>79874999.875</v>
      </c>
    </row>
    <row r="8" spans="1:7" ht="15.5" customHeight="1" x14ac:dyDescent="0.25">
      <c r="A8" s="163" t="s">
        <v>517</v>
      </c>
      <c r="B8" s="157" t="s">
        <v>33</v>
      </c>
      <c r="C8" s="194">
        <v>2250</v>
      </c>
      <c r="D8" s="194">
        <v>11250</v>
      </c>
      <c r="E8" s="194">
        <v>22500</v>
      </c>
      <c r="F8" s="2">
        <f>E8</f>
        <v>22500</v>
      </c>
      <c r="G8" s="2">
        <f>F8</f>
        <v>22500</v>
      </c>
    </row>
    <row r="9" spans="1:7" ht="15.5" customHeight="1" x14ac:dyDescent="0.25">
      <c r="A9" s="163" t="s">
        <v>518</v>
      </c>
      <c r="B9" s="157" t="s">
        <v>33</v>
      </c>
      <c r="C9" s="194">
        <f>SUM(Calculations!D12,Calculations!D18,Calculations!D24)</f>
        <v>177918.75</v>
      </c>
      <c r="D9" s="194">
        <f>SUM(Calculations!E12,Calculations!E18,Calculations!E24)</f>
        <v>32318739.201548442</v>
      </c>
      <c r="E9" s="194">
        <f>SUM(Calculations!F12,Calculations!F18,Calculations!F24)</f>
        <v>75729352.14100574</v>
      </c>
      <c r="F9" s="2">
        <f>SUM((('5Y – Assumptions'!D23+'5Y – Assumptions'!E23)/2*'5Y – Assumptions'!G23*'5Y – Assumptions'!H23*'5Y – Assumptions'!J23*'5Y – Assumptions'!D33*12*'5Y – Assumptions'!$D$11*(1+'5Y – Assumptions'!D35)*'5Y – Assumptions'!K23*'5Y – Assumptions'!L23*'5Y – Assumptions'!D34),(('5Y – Assumptions'!D24+'5Y – Assumptions'!E24)/2*'5Y – Assumptions'!G24*'5Y – Assumptions'!H24*'5Y – Assumptions'!J24*'5Y – Assumptions'!D33*12*'5Y – Assumptions'!$D$11*(1+'5Y – Assumptions'!D35)*'5Y – Assumptions'!K24*'5Y – Assumptions'!L24*'5Y – Assumptions'!D34),(('5Y – Assumptions'!D25+'5Y – Assumptions'!E25)/2*'5Y – Assumptions'!G25*'5Y – Assumptions'!H25*'5Y – Assumptions'!J25*'5Y – Assumptions'!D33*12*'5Y – Assumptions'!$D$11*(1+'5Y – Assumptions'!D35)*'5Y – Assumptions'!K25*'5Y – Assumptions'!L25*'5Y – Assumptions'!D34),(('5Y – Assumptions'!D26+'5Y – Assumptions'!E26)/2*'5Y – Assumptions'!G26*'5Y – Assumptions'!H26*'5Y – Assumptions'!J26*'5Y – Assumptions'!D33*12*'5Y – Assumptions'!$D$11*(1+'5Y – Assumptions'!D35)*'5Y – Assumptions'!K26*'5Y – Assumptions'!L26*'5Y – Assumptions'!D34),(('5Y – Assumptions'!D27+'5Y – Assumptions'!E27)/2*'5Y – Assumptions'!G27*'5Y – Assumptions'!H27*'5Y – Assumptions'!J27*'5Y – Assumptions'!D33*12*'5Y – Assumptions'!$D$11*(1+'5Y – Assumptions'!D35)*'5Y – Assumptions'!K27*'5Y – Assumptions'!L27*'5Y – Assumptions'!D34),(('5Y – Assumptions'!D28+'5Y – Assumptions'!E28)/2*'5Y – Assumptions'!G28*'5Y – Assumptions'!H28*'5Y – Assumptions'!J28*'5Y – Assumptions'!D33*12*'5Y – Assumptions'!$D$11*(1+'5Y – Assumptions'!D35)*'5Y – Assumptions'!K28*'5Y – Assumptions'!L28*'5Y – Assumptions'!D34))</f>
        <v>163646890.3125</v>
      </c>
      <c r="G9" s="2">
        <f>SUM((('5Y – Assumptions'!E23+'5Y – Assumptions'!F23)/2*'5Y – Assumptions'!G23*'5Y – Assumptions'!H23*'5Y – Assumptions'!J23*'5Y – Assumptions'!E33*12*'5Y – Assumptions'!$D$11*(1+'5Y – Assumptions'!E35)*'5Y – Assumptions'!K23*'5Y – Assumptions'!L23*'5Y – Assumptions'!E34),(('5Y – Assumptions'!E24+'5Y – Assumptions'!F24)/2*'5Y – Assumptions'!G24*'5Y – Assumptions'!H24*'5Y – Assumptions'!J24*'5Y – Assumptions'!E33*12*'5Y – Assumptions'!$D$11*(1+'5Y – Assumptions'!E35)*'5Y – Assumptions'!K24*'5Y – Assumptions'!L24*'5Y – Assumptions'!E34),(('5Y – Assumptions'!E25+'5Y – Assumptions'!F25)/2*'5Y – Assumptions'!G25*'5Y – Assumptions'!H25*'5Y – Assumptions'!J25*'5Y – Assumptions'!E33*12*'5Y – Assumptions'!$D$11*(1+'5Y – Assumptions'!E35)*'5Y – Assumptions'!K25*'5Y – Assumptions'!L25*'5Y – Assumptions'!E34),(('5Y – Assumptions'!E26+'5Y – Assumptions'!F26)/2*'5Y – Assumptions'!G26*'5Y – Assumptions'!H26*'5Y – Assumptions'!J26*'5Y – Assumptions'!E33*12*'5Y – Assumptions'!$D$11*(1+'5Y – Assumptions'!E35)*'5Y – Assumptions'!K26*'5Y – Assumptions'!L26*'5Y – Assumptions'!E34),(('5Y – Assumptions'!E27+'5Y – Assumptions'!F27)/2*'5Y – Assumptions'!G27*'5Y – Assumptions'!H27*'5Y – Assumptions'!J27*'5Y – Assumptions'!E33*12*'5Y – Assumptions'!$D$11*(1+'5Y – Assumptions'!E35)*'5Y – Assumptions'!K27*'5Y – Assumptions'!L27*'5Y – Assumptions'!E34),(('5Y – Assumptions'!E28+'5Y – Assumptions'!F28)/2*'5Y – Assumptions'!G28*'5Y – Assumptions'!H28*'5Y – Assumptions'!J28*'5Y – Assumptions'!E33*12*'5Y – Assumptions'!$D$11*(1+'5Y – Assumptions'!E35)*'5Y – Assumptions'!K28*'5Y – Assumptions'!L28*'5Y – Assumptions'!E34))</f>
        <v>336140758.80000007</v>
      </c>
    </row>
    <row r="10" spans="1:7" ht="15.5" customHeight="1" x14ac:dyDescent="0.25">
      <c r="A10" s="163" t="s">
        <v>267</v>
      </c>
      <c r="B10" s="157" t="s">
        <v>33</v>
      </c>
      <c r="C10" s="194">
        <v>37161</v>
      </c>
      <c r="D10" s="194">
        <v>323136</v>
      </c>
      <c r="E10" s="194">
        <v>461000</v>
      </c>
      <c r="F10" s="2">
        <v>484247</v>
      </c>
      <c r="G10" s="2">
        <v>918872</v>
      </c>
    </row>
    <row r="11" spans="1:7" ht="15.5" customHeight="1" x14ac:dyDescent="0.25">
      <c r="A11" s="164" t="s">
        <v>268</v>
      </c>
      <c r="B11" s="170" t="s">
        <v>33</v>
      </c>
      <c r="C11" s="197">
        <f>SUM(Calculations!D9,Calculations!D15,Calculations!D21)+C8</f>
        <v>467409.99249999999</v>
      </c>
      <c r="D11" s="197">
        <f>SUM(Calculations!E9,Calculations!E15,Calculations!E21)+D8</f>
        <v>42861331.489577278</v>
      </c>
      <c r="E11" s="197">
        <f>SUM(Calculations!F9,Calculations!F15,Calculations!F21)+E8</f>
        <v>104557694.31956331</v>
      </c>
      <c r="F11" s="198">
        <v>211273637.0625</v>
      </c>
      <c r="G11" s="198">
        <v>416957130.67500007</v>
      </c>
    </row>
    <row r="12" spans="1:7" ht="15.5" customHeight="1" x14ac:dyDescent="0.25">
      <c r="A12" s="163"/>
      <c r="B12" s="157"/>
      <c r="C12" s="2"/>
      <c r="D12" s="2"/>
      <c r="E12" s="2"/>
      <c r="F12" s="2"/>
      <c r="G12" s="2"/>
    </row>
    <row r="13" spans="1:7" ht="15.5" customHeight="1" x14ac:dyDescent="0.25">
      <c r="A13" s="163" t="s">
        <v>519</v>
      </c>
      <c r="B13" s="157" t="s">
        <v>33</v>
      </c>
      <c r="C13" s="2">
        <f>C9*'5Y – Assumptions'!$D$12</f>
        <v>118612.5</v>
      </c>
      <c r="D13" s="2">
        <f>D9*'5Y – Assumptions'!$D$12</f>
        <v>21545826.134365626</v>
      </c>
      <c r="E13" s="2">
        <f>E9*'5Y – Assumptions'!$D$12</f>
        <v>50486234.760670491</v>
      </c>
      <c r="F13" s="2">
        <f>F9*'5Y – Assumptions'!$D$12</f>
        <v>109097926.875</v>
      </c>
      <c r="G13" s="2">
        <f>G9*'5Y – Assumptions'!$D$12</f>
        <v>224093839.20000005</v>
      </c>
    </row>
    <row r="14" spans="1:7" ht="15.5" customHeight="1" x14ac:dyDescent="0.25">
      <c r="A14" s="165" t="s">
        <v>520</v>
      </c>
      <c r="B14" s="171" t="s">
        <v>33</v>
      </c>
      <c r="C14" s="199">
        <f>C9-C13</f>
        <v>59306.25</v>
      </c>
      <c r="D14" s="199">
        <f>D9-D13</f>
        <v>10772913.067182817</v>
      </c>
      <c r="E14" s="199">
        <f>E9-E13</f>
        <v>25243117.380335249</v>
      </c>
      <c r="F14" s="199">
        <f>F9-F13</f>
        <v>54548963.4375</v>
      </c>
      <c r="G14" s="199">
        <f>G9-G13</f>
        <v>112046919.60000002</v>
      </c>
    </row>
    <row r="15" spans="1:7" ht="15.5" customHeight="1" x14ac:dyDescent="0.25">
      <c r="A15"/>
      <c r="B15" s="5"/>
      <c r="C15"/>
      <c r="D15"/>
      <c r="E15"/>
      <c r="F15"/>
      <c r="G15"/>
    </row>
    <row r="16" spans="1:7" ht="15.5" customHeight="1" x14ac:dyDescent="0.25">
      <c r="A16"/>
      <c r="B16" s="5"/>
      <c r="C16"/>
      <c r="D16"/>
      <c r="E16"/>
      <c r="F16"/>
      <c r="G16"/>
    </row>
    <row r="17" spans="1:7" ht="15.5" customHeight="1" x14ac:dyDescent="0.25">
      <c r="A17" s="173" t="s">
        <v>521</v>
      </c>
      <c r="B17" s="162" t="s">
        <v>99</v>
      </c>
      <c r="C17" s="167" t="s">
        <v>439</v>
      </c>
      <c r="D17" s="167" t="s">
        <v>440</v>
      </c>
      <c r="E17" s="167" t="s">
        <v>32</v>
      </c>
      <c r="F17" s="167" t="s">
        <v>441</v>
      </c>
      <c r="G17" s="168" t="s">
        <v>442</v>
      </c>
    </row>
    <row r="18" spans="1:7" ht="15.5" customHeight="1" x14ac:dyDescent="0.25">
      <c r="A18" s="163" t="s">
        <v>522</v>
      </c>
      <c r="B18" s="157" t="s">
        <v>403</v>
      </c>
      <c r="C18">
        <f>SUM(Inputs!O39,Inputs!O71,Inputs!O103)</f>
        <v>1060000</v>
      </c>
      <c r="D18">
        <f>SUM(Inputs!S39,Inputs!S71,Inputs!S103)</f>
        <v>4572500</v>
      </c>
      <c r="E18" s="2">
        <f>SUM(('5Y – Assumptions'!D23*'5Y – Assumptions'!G23*'5Y – Assumptions'!H23),('5Y – Assumptions'!D24*'5Y – Assumptions'!G24*'5Y – Assumptions'!H24),('5Y – Assumptions'!D25*'5Y – Assumptions'!G25*'5Y – Assumptions'!H25),('5Y – Assumptions'!D26*'5Y – Assumptions'!G26*'5Y – Assumptions'!H26),('5Y – Assumptions'!D27*'5Y – Assumptions'!G27*'5Y – Assumptions'!H27),('5Y – Assumptions'!D28*'5Y – Assumptions'!G28*'5Y – Assumptions'!H28))</f>
        <v>7112500</v>
      </c>
      <c r="F18" s="2">
        <f>SUM(('5Y – Assumptions'!E23*'5Y – Assumptions'!G23*'5Y – Assumptions'!H23),('5Y – Assumptions'!E24*'5Y – Assumptions'!G24*'5Y – Assumptions'!H24),('5Y – Assumptions'!E25*'5Y – Assumptions'!G25*'5Y – Assumptions'!H25),('5Y – Assumptions'!E26*'5Y – Assumptions'!G26*'5Y – Assumptions'!H26),('5Y – Assumptions'!E27*'5Y – Assumptions'!G27*'5Y – Assumptions'!H27),('5Y – Assumptions'!E28*'5Y – Assumptions'!G28*'5Y – Assumptions'!H28))</f>
        <v>11385000</v>
      </c>
      <c r="G18" s="2">
        <f>SUM(('5Y – Assumptions'!F23*'5Y – Assumptions'!G23*'5Y – Assumptions'!H23),('5Y – Assumptions'!F24*'5Y – Assumptions'!G24*'5Y – Assumptions'!H24),('5Y – Assumptions'!F25*'5Y – Assumptions'!G25*'5Y – Assumptions'!H25),('5Y – Assumptions'!F26*'5Y – Assumptions'!G26*'5Y – Assumptions'!H26),('5Y – Assumptions'!F27*'5Y – Assumptions'!G27*'5Y – Assumptions'!H27),('5Y – Assumptions'!F28*'5Y – Assumptions'!G28*'5Y – Assumptions'!H28))</f>
        <v>21250000</v>
      </c>
    </row>
    <row r="19" spans="1:7" ht="15.5" customHeight="1" x14ac:dyDescent="0.25">
      <c r="A19" s="163" t="s">
        <v>523</v>
      </c>
      <c r="B19" s="157" t="s">
        <v>142</v>
      </c>
      <c r="C19">
        <f>SUM(Inputs!O41,Inputs!O73,Inputs!O105)</f>
        <v>1060000</v>
      </c>
      <c r="D19">
        <f>SUM(Inputs!S41,Inputs!S73,Inputs!S105)</f>
        <v>13585000</v>
      </c>
      <c r="E19" s="2">
        <f>SUM(('5Y – Assumptions'!D23*'5Y – Assumptions'!G23*'5Y – Assumptions'!H23*'5Y – Assumptions'!J23),('5Y – Assumptions'!D24*'5Y – Assumptions'!G24*'5Y – Assumptions'!H24*'5Y – Assumptions'!J24),('5Y – Assumptions'!D25*'5Y – Assumptions'!G25*'5Y – Assumptions'!H25*'5Y – Assumptions'!J25),('5Y – Assumptions'!D26*'5Y – Assumptions'!G26*'5Y – Assumptions'!H26*'5Y – Assumptions'!J26),('5Y – Assumptions'!D27*'5Y – Assumptions'!G27*'5Y – Assumptions'!H27*'5Y – Assumptions'!J27),('5Y – Assumptions'!D28*'5Y – Assumptions'!G28*'5Y – Assumptions'!H28*'5Y – Assumptions'!J28))</f>
        <v>29319649.999999996</v>
      </c>
      <c r="F19" s="2">
        <f>SUM(('5Y – Assumptions'!E23*'5Y – Assumptions'!G23*'5Y – Assumptions'!H23*'5Y – Assumptions'!J23),('5Y – Assumptions'!E24*'5Y – Assumptions'!G24*'5Y – Assumptions'!H24*'5Y – Assumptions'!J24),('5Y – Assumptions'!E25*'5Y – Assumptions'!G25*'5Y – Assumptions'!H25*'5Y – Assumptions'!J25),('5Y – Assumptions'!E26*'5Y – Assumptions'!G26*'5Y – Assumptions'!H26*'5Y – Assumptions'!J26),('5Y – Assumptions'!E27*'5Y – Assumptions'!G27*'5Y – Assumptions'!H27*'5Y – Assumptions'!J27),('5Y – Assumptions'!E28*'5Y – Assumptions'!G28*'5Y – Assumptions'!H28*'5Y – Assumptions'!J28))</f>
        <v>45856250</v>
      </c>
      <c r="G19" s="2">
        <f>SUM(('5Y – Assumptions'!F23*'5Y – Assumptions'!G23*'5Y – Assumptions'!H23*'5Y – Assumptions'!J23),('5Y – Assumptions'!F24*'5Y – Assumptions'!G24*'5Y – Assumptions'!H24*'5Y – Assumptions'!J24),('5Y – Assumptions'!F25*'5Y – Assumptions'!G25*'5Y – Assumptions'!H25*'5Y – Assumptions'!J25),('5Y – Assumptions'!F26*'5Y – Assumptions'!G26*'5Y – Assumptions'!H26*'5Y – Assumptions'!J26),('5Y – Assumptions'!F27*'5Y – Assumptions'!G27*'5Y – Assumptions'!H27*'5Y – Assumptions'!J27),('5Y – Assumptions'!F28*'5Y – Assumptions'!G28*'5Y – Assumptions'!H28*'5Y – Assumptions'!J28))</f>
        <v>82092500</v>
      </c>
    </row>
    <row r="20" spans="1:7" ht="15.5" customHeight="1" x14ac:dyDescent="0.25">
      <c r="A20" s="163" t="s">
        <v>524</v>
      </c>
      <c r="B20" s="157" t="s">
        <v>403</v>
      </c>
      <c r="C20">
        <f>SUM(Inputs!O22*Inputs!O24,Inputs!O54*Inputs!O56,Inputs!O86*Inputs!O88)</f>
        <v>112500</v>
      </c>
      <c r="D20">
        <f>SUM(Inputs!S22*Inputs!S24,Inputs!S54*Inputs!S56,Inputs!S86*Inputs!S88)</f>
        <v>220000</v>
      </c>
      <c r="E20" s="2">
        <f>SUM(('5Y – Assumptions'!D23*'5Y – Assumptions'!G23*'5Y – Assumptions'!H23),('5Y – Assumptions'!D25*'5Y – Assumptions'!G25*'5Y – Assumptions'!H25),('5Y – Assumptions'!D27*'5Y – Assumptions'!G27*'5Y – Assumptions'!H27))</f>
        <v>877500</v>
      </c>
      <c r="F20" s="2">
        <f>SUM(('5Y – Assumptions'!E23*'5Y – Assumptions'!G23*'5Y – Assumptions'!H23),('5Y – Assumptions'!E25*'5Y – Assumptions'!G25*'5Y – Assumptions'!H25),('5Y – Assumptions'!E27*'5Y – Assumptions'!G27*'5Y – Assumptions'!H27))</f>
        <v>2385000</v>
      </c>
      <c r="G20" s="2">
        <f>SUM(('5Y – Assumptions'!F23*'5Y – Assumptions'!G23*'5Y – Assumptions'!H23),('5Y – Assumptions'!F25*'5Y – Assumptions'!G25*'5Y – Assumptions'!H25),('5Y – Assumptions'!F27*'5Y – Assumptions'!G27*'5Y – Assumptions'!H27))</f>
        <v>7650000</v>
      </c>
    </row>
    <row r="21" spans="1:7" ht="15.5" customHeight="1" x14ac:dyDescent="0.25">
      <c r="A21" s="163" t="s">
        <v>525</v>
      </c>
      <c r="B21" s="157" t="s">
        <v>142</v>
      </c>
      <c r="C21">
        <f>SUM(Inputs!O43,Inputs!O75,Inputs!O107)</f>
        <v>100250</v>
      </c>
      <c r="D21">
        <f>SUM(Inputs!S43,Inputs!S75,Inputs!S107)</f>
        <v>2437350</v>
      </c>
      <c r="E21" s="2">
        <f>E19*'5Y – Assumptions'!C33</f>
        <v>5277536.9999999991</v>
      </c>
      <c r="F21" s="2">
        <f>F19*'5Y – Assumptions'!D33</f>
        <v>9171250</v>
      </c>
      <c r="G21" s="2">
        <f>G19*'5Y – Assumptions'!E33</f>
        <v>18060350</v>
      </c>
    </row>
    <row r="22" spans="1:7" ht="15.5" customHeight="1" x14ac:dyDescent="0.25">
      <c r="A22" s="166" t="s">
        <v>526</v>
      </c>
      <c r="B22" s="172" t="s">
        <v>142</v>
      </c>
      <c r="C22">
        <f>C21*12</f>
        <v>1203000</v>
      </c>
      <c r="D22">
        <f>D21*12</f>
        <v>29248200</v>
      </c>
      <c r="E22" s="2">
        <f>E21*12*'5Y – Assumptions'!$D$11</f>
        <v>63330443.999999985</v>
      </c>
      <c r="F22" s="2">
        <f>F21*12*'5Y – Assumptions'!$D$11*(1+'5Y – Assumptions'!D35)</f>
        <v>115557750</v>
      </c>
      <c r="G22" s="2">
        <f>G21*12*'5Y – Assumptions'!$D$11*(1+'5Y – Assumptions'!E35)</f>
        <v>238396620.00000003</v>
      </c>
    </row>
  </sheetData>
  <mergeCells count="2">
    <mergeCell ref="A1:G1"/>
    <mergeCell ref="A3:G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6"/>
  <sheetViews>
    <sheetView workbookViewId="0">
      <selection sqref="A1:G1"/>
    </sheetView>
  </sheetViews>
  <sheetFormatPr defaultRowHeight="12.5" x14ac:dyDescent="0.25"/>
  <cols>
    <col min="1" max="1" width="53.6328125" style="1" customWidth="1"/>
    <col min="2" max="2" width="12" style="1" customWidth="1"/>
    <col min="3" max="7" width="17" style="1" customWidth="1"/>
    <col min="8" max="16384" width="8.7265625" style="1"/>
  </cols>
  <sheetData>
    <row r="1" spans="1:7" ht="19.5" customHeight="1" x14ac:dyDescent="0.25">
      <c r="A1" s="365" t="s">
        <v>527</v>
      </c>
      <c r="B1" s="368"/>
      <c r="C1" s="368"/>
      <c r="D1" s="368"/>
      <c r="E1" s="368"/>
      <c r="F1" s="368"/>
      <c r="G1" s="368"/>
    </row>
    <row r="2" spans="1:7" ht="15.5" customHeight="1" x14ac:dyDescent="0.25"/>
    <row r="3" spans="1:7" ht="15.5" customHeight="1" x14ac:dyDescent="0.25">
      <c r="A3" s="370" t="s">
        <v>528</v>
      </c>
      <c r="B3" s="368"/>
      <c r="C3" s="368"/>
      <c r="D3" s="368"/>
      <c r="E3" s="368"/>
      <c r="F3" s="368"/>
      <c r="G3" s="368"/>
    </row>
    <row r="4" spans="1:7" ht="15.5" customHeight="1" x14ac:dyDescent="0.25">
      <c r="A4" s="368"/>
      <c r="B4" s="368"/>
      <c r="C4" s="368"/>
      <c r="D4" s="368"/>
      <c r="E4" s="368"/>
      <c r="F4" s="368"/>
      <c r="G4" s="368"/>
    </row>
    <row r="5" spans="1:7" ht="15.5" customHeight="1" x14ac:dyDescent="0.25"/>
    <row r="6" spans="1:7" ht="15.5" customHeight="1" x14ac:dyDescent="0.25">
      <c r="A6" s="174" t="s">
        <v>438</v>
      </c>
      <c r="B6" s="162" t="s">
        <v>99</v>
      </c>
      <c r="C6" s="162" t="s">
        <v>439</v>
      </c>
      <c r="D6" s="162" t="s">
        <v>440</v>
      </c>
      <c r="E6" s="162" t="s">
        <v>32</v>
      </c>
      <c r="F6" s="162" t="s">
        <v>441</v>
      </c>
      <c r="G6" s="175" t="s">
        <v>442</v>
      </c>
    </row>
    <row r="7" spans="1:7" ht="15.5" customHeight="1" x14ac:dyDescent="0.25">
      <c r="A7" s="163" t="s">
        <v>519</v>
      </c>
      <c r="B7" s="178" t="s">
        <v>33</v>
      </c>
      <c r="C7" s="200">
        <f>'5Y – Revenue Model'!C13</f>
        <v>118612.5</v>
      </c>
      <c r="D7" s="200">
        <f>'5Y – Revenue Model'!D13</f>
        <v>21545826.134365626</v>
      </c>
      <c r="E7" s="200">
        <f>'5Y – Revenue Model'!E13</f>
        <v>50486234.760670491</v>
      </c>
      <c r="F7" s="200">
        <f>'5Y – Revenue Model'!F13</f>
        <v>109097926.875</v>
      </c>
      <c r="G7" s="200">
        <f>'5Y – Revenue Model'!G13</f>
        <v>224093839.20000005</v>
      </c>
    </row>
    <row r="8" spans="1:7" ht="15.5" customHeight="1" x14ac:dyDescent="0.25">
      <c r="A8" s="163" t="s">
        <v>260</v>
      </c>
      <c r="B8" s="178" t="s">
        <v>33</v>
      </c>
      <c r="C8" s="200">
        <f>'5Y – Assumptions'!B40</f>
        <v>192000</v>
      </c>
      <c r="D8" s="200">
        <f>'5Y – Assumptions'!C40</f>
        <v>459875</v>
      </c>
      <c r="E8" s="200">
        <f>'5Y – Assumptions'!D40</f>
        <v>795250</v>
      </c>
      <c r="F8" s="200">
        <f>'5Y – Assumptions'!E40</f>
        <v>1610630.5</v>
      </c>
      <c r="G8" s="200">
        <f>'5Y – Assumptions'!F40</f>
        <v>2124004</v>
      </c>
    </row>
    <row r="9" spans="1:7" ht="15.5" customHeight="1" x14ac:dyDescent="0.25">
      <c r="A9" s="163" t="s">
        <v>185</v>
      </c>
      <c r="B9" s="178" t="s">
        <v>33</v>
      </c>
      <c r="C9" s="200">
        <f>'5Y – Assumptions'!B41</f>
        <v>9375</v>
      </c>
      <c r="D9" s="200">
        <f>'5Y – Assumptions'!C41</f>
        <v>24375</v>
      </c>
      <c r="E9" s="200">
        <f>'5Y – Assumptions'!D41</f>
        <v>26250</v>
      </c>
      <c r="F9" s="200">
        <f>'5Y – Assumptions'!E41</f>
        <v>29062.5</v>
      </c>
      <c r="G9" s="200">
        <f>'5Y – Assumptions'!F41</f>
        <v>34687.5</v>
      </c>
    </row>
    <row r="10" spans="1:7" ht="15.5" customHeight="1" x14ac:dyDescent="0.25">
      <c r="A10" s="163" t="s">
        <v>449</v>
      </c>
      <c r="B10" s="178" t="s">
        <v>33</v>
      </c>
      <c r="C10" s="200">
        <f>'5Y – Assumptions'!B42</f>
        <v>6900</v>
      </c>
      <c r="D10" s="200">
        <f>'5Y – Assumptions'!C42</f>
        <v>16800</v>
      </c>
      <c r="E10" s="200">
        <f>'5Y – Assumptions'!D42</f>
        <v>21600</v>
      </c>
      <c r="F10" s="200">
        <f>'5Y – Assumptions'!E42</f>
        <v>21600</v>
      </c>
      <c r="G10" s="200">
        <f>'5Y – Assumptions'!F42</f>
        <v>33600</v>
      </c>
    </row>
    <row r="11" spans="1:7" ht="15.5" customHeight="1" x14ac:dyDescent="0.25">
      <c r="A11" s="163" t="s">
        <v>452</v>
      </c>
      <c r="B11" s="178" t="s">
        <v>33</v>
      </c>
      <c r="C11" s="200">
        <f>'5Y – Assumptions'!B43</f>
        <v>7500</v>
      </c>
      <c r="D11" s="200">
        <f>'5Y – Assumptions'!C43</f>
        <v>21750</v>
      </c>
      <c r="E11" s="200">
        <f>'5Y – Assumptions'!D43</f>
        <v>24000</v>
      </c>
      <c r="F11" s="200">
        <f>'5Y – Assumptions'!E43</f>
        <v>26250</v>
      </c>
      <c r="G11" s="200">
        <f>'5Y – Assumptions'!F43</f>
        <v>32250</v>
      </c>
    </row>
    <row r="12" spans="1:7" ht="15.5" customHeight="1" x14ac:dyDescent="0.25">
      <c r="A12" s="163" t="s">
        <v>455</v>
      </c>
      <c r="B12" s="178" t="s">
        <v>33</v>
      </c>
      <c r="C12" s="200">
        <f>'5Y – Assumptions'!B44</f>
        <v>5520</v>
      </c>
      <c r="D12" s="200">
        <f>'5Y – Assumptions'!C44</f>
        <v>8000</v>
      </c>
      <c r="E12" s="200">
        <f>'5Y – Assumptions'!D44</f>
        <v>10000</v>
      </c>
      <c r="F12" s="200">
        <f>'5Y – Assumptions'!E44</f>
        <v>12000</v>
      </c>
      <c r="G12" s="200">
        <f>'5Y – Assumptions'!F44</f>
        <v>15000</v>
      </c>
    </row>
    <row r="13" spans="1:7" ht="15.5" customHeight="1" x14ac:dyDescent="0.25">
      <c r="A13" s="163" t="s">
        <v>458</v>
      </c>
      <c r="B13" s="178" t="s">
        <v>33</v>
      </c>
      <c r="C13" s="200">
        <f>'5Y – Assumptions'!B45</f>
        <v>82800</v>
      </c>
      <c r="D13" s="200">
        <f>'5Y – Assumptions'!C45</f>
        <v>160000</v>
      </c>
      <c r="E13" s="200">
        <f>'5Y – Assumptions'!D45</f>
        <v>235000</v>
      </c>
      <c r="F13" s="200">
        <f>'5Y – Assumptions'!E45</f>
        <v>350000</v>
      </c>
      <c r="G13" s="200">
        <f>'5Y – Assumptions'!F45</f>
        <v>540000</v>
      </c>
    </row>
    <row r="14" spans="1:7" ht="15.5" customHeight="1" x14ac:dyDescent="0.25">
      <c r="A14" s="163" t="s">
        <v>461</v>
      </c>
      <c r="B14" s="178" t="s">
        <v>33</v>
      </c>
      <c r="C14" s="200">
        <f>'5Y – Assumptions'!B46</f>
        <v>13800</v>
      </c>
      <c r="D14" s="200">
        <f>'5Y – Assumptions'!C46</f>
        <v>45000</v>
      </c>
      <c r="E14" s="200">
        <f>'5Y – Assumptions'!D46</f>
        <v>70000</v>
      </c>
      <c r="F14" s="200">
        <f>'5Y – Assumptions'!E46</f>
        <v>105000</v>
      </c>
      <c r="G14" s="200">
        <f>'5Y – Assumptions'!F46</f>
        <v>170000</v>
      </c>
    </row>
    <row r="15" spans="1:7" ht="15.5" customHeight="1" x14ac:dyDescent="0.25">
      <c r="A15" s="163" t="s">
        <v>198</v>
      </c>
      <c r="B15" s="178" t="s">
        <v>33</v>
      </c>
      <c r="C15" s="200">
        <f>'5Y – Assumptions'!B47</f>
        <v>80000</v>
      </c>
      <c r="D15" s="200">
        <f>'5Y – Assumptions'!C47</f>
        <v>0</v>
      </c>
      <c r="E15" s="200">
        <f>'5Y – Assumptions'!D47</f>
        <v>0</v>
      </c>
      <c r="F15" s="200">
        <f>'5Y – Assumptions'!E47</f>
        <v>0</v>
      </c>
      <c r="G15" s="200">
        <f>'5Y – Assumptions'!F47</f>
        <v>0</v>
      </c>
    </row>
    <row r="16" spans="1:7" ht="15.5" customHeight="1" x14ac:dyDescent="0.25">
      <c r="A16" s="163" t="s">
        <v>466</v>
      </c>
      <c r="B16" s="178" t="s">
        <v>33</v>
      </c>
      <c r="C16" s="200">
        <f>'5Y – Assumptions'!B48</f>
        <v>55200</v>
      </c>
      <c r="D16" s="200">
        <f>'5Y – Assumptions'!C48</f>
        <v>100000</v>
      </c>
      <c r="E16" s="200">
        <f>'5Y – Assumptions'!D48</f>
        <v>200000</v>
      </c>
      <c r="F16" s="200">
        <f>'5Y – Assumptions'!E48</f>
        <v>300000</v>
      </c>
      <c r="G16" s="200">
        <f>'5Y – Assumptions'!F48</f>
        <v>420000</v>
      </c>
    </row>
    <row r="17" spans="1:7" ht="15.5" customHeight="1" x14ac:dyDescent="0.25">
      <c r="A17" s="163" t="s">
        <v>469</v>
      </c>
      <c r="B17" s="178" t="s">
        <v>33</v>
      </c>
      <c r="C17" s="200">
        <f>'5Y – Assumptions'!B49</f>
        <v>450</v>
      </c>
      <c r="D17" s="200">
        <f>'5Y – Assumptions'!C49</f>
        <v>450</v>
      </c>
      <c r="E17" s="200">
        <f>'5Y – Assumptions'!D49</f>
        <v>5650</v>
      </c>
      <c r="F17" s="200">
        <f>'5Y – Assumptions'!E49</f>
        <v>8715</v>
      </c>
      <c r="G17" s="200">
        <f>'5Y – Assumptions'!F49</f>
        <v>8715</v>
      </c>
    </row>
    <row r="18" spans="1:7" ht="15.5" customHeight="1" x14ac:dyDescent="0.25">
      <c r="A18" s="163" t="s">
        <v>472</v>
      </c>
      <c r="B18" s="178" t="s">
        <v>33</v>
      </c>
      <c r="C18" s="200">
        <f>'5Y – Assumptions'!B50</f>
        <v>225</v>
      </c>
      <c r="D18" s="200">
        <f>'5Y – Assumptions'!C50</f>
        <v>225</v>
      </c>
      <c r="E18" s="200">
        <f>'5Y – Assumptions'!D50</f>
        <v>225</v>
      </c>
      <c r="F18" s="200">
        <f>'5Y – Assumptions'!E50</f>
        <v>225</v>
      </c>
      <c r="G18" s="200">
        <f>'5Y – Assumptions'!F50</f>
        <v>225</v>
      </c>
    </row>
    <row r="19" spans="1:7" ht="15.5" customHeight="1" x14ac:dyDescent="0.25">
      <c r="A19" s="163" t="s">
        <v>475</v>
      </c>
      <c r="B19" s="178" t="s">
        <v>33</v>
      </c>
      <c r="C19" s="200">
        <f>'5Y – Assumptions'!B51</f>
        <v>13800</v>
      </c>
      <c r="D19" s="200">
        <f>'5Y – Assumptions'!C51</f>
        <v>35000</v>
      </c>
      <c r="E19" s="200">
        <f>'5Y – Assumptions'!D51</f>
        <v>80000</v>
      </c>
      <c r="F19" s="200">
        <f>'5Y – Assumptions'!E51</f>
        <v>120000</v>
      </c>
      <c r="G19" s="200">
        <f>'5Y – Assumptions'!F51</f>
        <v>170000</v>
      </c>
    </row>
    <row r="20" spans="1:7" ht="15.5" customHeight="1" x14ac:dyDescent="0.25">
      <c r="A20" s="163" t="s">
        <v>189</v>
      </c>
      <c r="B20" s="178" t="s">
        <v>33</v>
      </c>
      <c r="C20" s="200">
        <f>'5Y – Assumptions'!B52</f>
        <v>90000</v>
      </c>
      <c r="D20" s="200">
        <f>'5Y – Assumptions'!C52</f>
        <v>250000</v>
      </c>
      <c r="E20" s="200">
        <f>'5Y – Assumptions'!D52</f>
        <v>400000</v>
      </c>
      <c r="F20" s="200">
        <f>'5Y – Assumptions'!E52</f>
        <v>300000</v>
      </c>
      <c r="G20" s="200">
        <f>'5Y – Assumptions'!F52</f>
        <v>250000</v>
      </c>
    </row>
    <row r="21" spans="1:7" ht="15.5" customHeight="1" x14ac:dyDescent="0.25">
      <c r="A21" s="163" t="s">
        <v>195</v>
      </c>
      <c r="B21" s="178" t="s">
        <v>33</v>
      </c>
      <c r="C21" s="200">
        <f>'5Y – Assumptions'!B53</f>
        <v>17250</v>
      </c>
      <c r="D21" s="200">
        <f>'5Y – Assumptions'!C53</f>
        <v>359000</v>
      </c>
      <c r="E21" s="200">
        <f>'5Y – Assumptions'!D53</f>
        <v>920000</v>
      </c>
      <c r="F21" s="200">
        <f>'5Y – Assumptions'!E53</f>
        <v>1000000</v>
      </c>
      <c r="G21" s="200">
        <f>'5Y – Assumptions'!F53</f>
        <v>1100000</v>
      </c>
    </row>
    <row r="22" spans="1:7" ht="15.5" customHeight="1" x14ac:dyDescent="0.25">
      <c r="A22" s="163" t="s">
        <v>529</v>
      </c>
      <c r="B22" s="178" t="s">
        <v>33</v>
      </c>
      <c r="C22" s="200">
        <f>'5Y – Assumptions'!B54</f>
        <v>0</v>
      </c>
      <c r="D22" s="200">
        <f>'5Y – Assumptions'!C54</f>
        <v>0</v>
      </c>
      <c r="E22" s="200">
        <f>'5Y – Assumptions'!D54</f>
        <v>0</v>
      </c>
      <c r="F22" s="200">
        <f>'5Y – Assumptions'!E54</f>
        <v>0</v>
      </c>
      <c r="G22" s="200">
        <f>'5Y – Assumptions'!F54</f>
        <v>0</v>
      </c>
    </row>
    <row r="23" spans="1:7" ht="15.5" customHeight="1" x14ac:dyDescent="0.25">
      <c r="A23" s="186" t="s">
        <v>530</v>
      </c>
      <c r="B23" s="187" t="s">
        <v>33</v>
      </c>
      <c r="C23" s="201">
        <f>SUM(C8:C22)</f>
        <v>574820</v>
      </c>
      <c r="D23" s="201">
        <f>SUM(D8:D22)</f>
        <v>1480475</v>
      </c>
      <c r="E23" s="201">
        <f>SUM(E8:E22)</f>
        <v>2787975</v>
      </c>
      <c r="F23" s="201">
        <f>SUM(F8:F22)</f>
        <v>3883483</v>
      </c>
      <c r="G23" s="201">
        <f>SUM(G8:G22)</f>
        <v>4898481.5</v>
      </c>
    </row>
    <row r="24" spans="1:7" ht="15.5" customHeight="1" x14ac:dyDescent="0.25">
      <c r="A24" s="188" t="s">
        <v>244</v>
      </c>
      <c r="B24" s="189" t="s">
        <v>33</v>
      </c>
      <c r="C24" s="202">
        <v>0</v>
      </c>
      <c r="D24" s="202">
        <v>0</v>
      </c>
      <c r="E24" s="202">
        <v>0</v>
      </c>
      <c r="F24" s="202">
        <v>0</v>
      </c>
      <c r="G24" s="202">
        <v>0</v>
      </c>
    </row>
    <row r="25" spans="1:7" ht="15.5" customHeight="1" x14ac:dyDescent="0.25">
      <c r="A25" s="190" t="s">
        <v>531</v>
      </c>
      <c r="B25" s="191" t="s">
        <v>33</v>
      </c>
      <c r="C25" s="203">
        <f>C7+C23+C24</f>
        <v>693432.5</v>
      </c>
      <c r="D25" s="203">
        <f>D7+D23+D24</f>
        <v>23026301.134365626</v>
      </c>
      <c r="E25" s="203">
        <f>E7+E23+E24</f>
        <v>53274209.760670491</v>
      </c>
      <c r="F25" s="203">
        <f>F7+F23+F24</f>
        <v>112981409.875</v>
      </c>
      <c r="G25" s="203">
        <f>G7+G23+G24</f>
        <v>228992320.70000005</v>
      </c>
    </row>
    <row r="26" spans="1:7" ht="15.5" customHeight="1" x14ac:dyDescent="0.25">
      <c r="A26" s="192" t="s">
        <v>532</v>
      </c>
      <c r="B26" s="193" t="s">
        <v>33</v>
      </c>
      <c r="C26" s="204">
        <f>'5Y – Assumptions'!B55</f>
        <v>0</v>
      </c>
      <c r="D26" s="204">
        <f>'5Y – Assumptions'!C55</f>
        <v>0</v>
      </c>
      <c r="E26" s="204">
        <f>'5Y – Assumptions'!D55</f>
        <v>0</v>
      </c>
      <c r="F26" s="204">
        <f>'5Y – Assumptions'!E55</f>
        <v>0</v>
      </c>
      <c r="G26" s="204">
        <f>'5Y – Assumptions'!F55</f>
        <v>0</v>
      </c>
    </row>
  </sheetData>
  <mergeCells count="2">
    <mergeCell ref="A1:G1"/>
    <mergeCell ref="A3:G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1"/>
  <sheetViews>
    <sheetView workbookViewId="0">
      <selection sqref="A1:G1"/>
    </sheetView>
  </sheetViews>
  <sheetFormatPr defaultRowHeight="12.5" x14ac:dyDescent="0.25"/>
  <cols>
    <col min="1" max="1" width="48" style="1" customWidth="1"/>
    <col min="2" max="2" width="12" style="1" customWidth="1"/>
    <col min="3" max="7" width="17" style="1" customWidth="1"/>
    <col min="8" max="8" width="8.7265625" style="1"/>
    <col min="9" max="9" width="30" style="1" customWidth="1"/>
    <col min="10" max="10" width="20" style="1" customWidth="1"/>
    <col min="11" max="16384" width="8.7265625" style="1"/>
  </cols>
  <sheetData>
    <row r="1" spans="1:13" s="5" customFormat="1" ht="19.5" customHeight="1" x14ac:dyDescent="0.25">
      <c r="A1" s="365" t="s">
        <v>533</v>
      </c>
      <c r="B1" s="369"/>
      <c r="C1" s="369"/>
      <c r="D1" s="369"/>
      <c r="E1" s="369"/>
      <c r="F1" s="369"/>
      <c r="G1" s="369"/>
      <c r="H1"/>
      <c r="I1"/>
      <c r="J1"/>
    </row>
    <row r="2" spans="1:13" ht="15.5" customHeight="1" x14ac:dyDescent="0.25">
      <c r="A2"/>
      <c r="B2"/>
      <c r="C2"/>
      <c r="D2"/>
      <c r="E2"/>
      <c r="F2"/>
      <c r="G2"/>
      <c r="H2"/>
      <c r="I2"/>
      <c r="J2"/>
    </row>
    <row r="3" spans="1:13" ht="15.5" customHeight="1" x14ac:dyDescent="0.25">
      <c r="A3" s="174" t="s">
        <v>350</v>
      </c>
      <c r="B3" s="162" t="s">
        <v>99</v>
      </c>
      <c r="C3" s="162" t="s">
        <v>439</v>
      </c>
      <c r="D3" s="162" t="s">
        <v>440</v>
      </c>
      <c r="E3" s="162" t="s">
        <v>32</v>
      </c>
      <c r="F3" s="162" t="s">
        <v>441</v>
      </c>
      <c r="G3" s="175" t="s">
        <v>442</v>
      </c>
      <c r="H3"/>
      <c r="I3" s="361" t="s">
        <v>534</v>
      </c>
      <c r="J3" s="368"/>
      <c r="K3" s="368"/>
      <c r="L3" s="368"/>
      <c r="M3" s="368"/>
    </row>
    <row r="4" spans="1:13" ht="15.5" customHeight="1" x14ac:dyDescent="0.25">
      <c r="A4" s="164" t="s">
        <v>268</v>
      </c>
      <c r="B4" s="176" t="s">
        <v>33</v>
      </c>
      <c r="C4" s="205">
        <f>'5Y – Revenue Model'!C11</f>
        <v>467409.99249999999</v>
      </c>
      <c r="D4" s="205">
        <f>'5Y – Revenue Model'!D11</f>
        <v>42861331.489577278</v>
      </c>
      <c r="E4" s="205">
        <f>'5Y – Revenue Model'!E11</f>
        <v>104557694.31956331</v>
      </c>
      <c r="F4" s="206">
        <f>'5Y – Revenue Model'!F11</f>
        <v>211273637.0625</v>
      </c>
      <c r="G4" s="206">
        <f>'5Y – Revenue Model'!G11</f>
        <v>416957130.67500007</v>
      </c>
      <c r="H4"/>
      <c r="I4" s="177" t="s">
        <v>535</v>
      </c>
      <c r="J4" s="2">
        <f>G4</f>
        <v>416957130.67500007</v>
      </c>
    </row>
    <row r="5" spans="1:13" ht="15.5" customHeight="1" x14ac:dyDescent="0.25">
      <c r="A5" s="163" t="s">
        <v>519</v>
      </c>
      <c r="B5" s="178" t="s">
        <v>33</v>
      </c>
      <c r="C5" s="207">
        <f>'5Y – Cost Model'!C7</f>
        <v>118612.5</v>
      </c>
      <c r="D5" s="207">
        <f>'5Y – Cost Model'!D7</f>
        <v>21545826.134365626</v>
      </c>
      <c r="E5" s="207">
        <f>'5Y – Cost Model'!E7</f>
        <v>50486234.760670491</v>
      </c>
      <c r="F5" s="207">
        <f>'5Y – Cost Model'!F7</f>
        <v>109097926.875</v>
      </c>
      <c r="G5" s="207">
        <f>'5Y – Cost Model'!G7</f>
        <v>224093839.20000005</v>
      </c>
      <c r="H5"/>
      <c r="I5" s="164" t="s">
        <v>536</v>
      </c>
      <c r="J5" s="2">
        <f>G9</f>
        <v>187964809.97500002</v>
      </c>
    </row>
    <row r="6" spans="1:13" ht="15.5" customHeight="1" x14ac:dyDescent="0.25">
      <c r="A6" s="163" t="s">
        <v>537</v>
      </c>
      <c r="B6" s="178" t="s">
        <v>33</v>
      </c>
      <c r="C6" s="207">
        <f>'5Y – Cost Model'!C23</f>
        <v>574820</v>
      </c>
      <c r="D6" s="207">
        <f>'5Y – Cost Model'!D23</f>
        <v>1480475</v>
      </c>
      <c r="E6" s="207">
        <f>'5Y – Cost Model'!E23</f>
        <v>2787975</v>
      </c>
      <c r="F6" s="207">
        <f>'5Y – Cost Model'!F23</f>
        <v>3883483</v>
      </c>
      <c r="G6" s="207">
        <f>'5Y – Cost Model'!G23</f>
        <v>4898481.5</v>
      </c>
      <c r="H6"/>
      <c r="I6" s="164" t="s">
        <v>538</v>
      </c>
      <c r="J6" s="179">
        <f>G10</f>
        <v>0.45080128422485333</v>
      </c>
    </row>
    <row r="7" spans="1:13" ht="15.5" customHeight="1" x14ac:dyDescent="0.25">
      <c r="A7" s="163" t="s">
        <v>244</v>
      </c>
      <c r="B7" s="178" t="s">
        <v>33</v>
      </c>
      <c r="C7" s="207">
        <v>0</v>
      </c>
      <c r="D7" s="207">
        <v>0</v>
      </c>
      <c r="E7" s="207">
        <v>0</v>
      </c>
      <c r="F7" s="207">
        <v>0</v>
      </c>
      <c r="G7" s="207">
        <v>0</v>
      </c>
      <c r="H7"/>
      <c r="I7" s="164" t="s">
        <v>539</v>
      </c>
      <c r="J7" s="2">
        <f>G31</f>
        <v>282103756.50874996</v>
      </c>
    </row>
    <row r="8" spans="1:13" ht="15.5" customHeight="1" x14ac:dyDescent="0.25">
      <c r="A8" s="164" t="s">
        <v>276</v>
      </c>
      <c r="B8" s="176" t="s">
        <v>33</v>
      </c>
      <c r="C8" s="206">
        <f>C5+C6+C7</f>
        <v>693432.5</v>
      </c>
      <c r="D8" s="206">
        <f>D5+D6+D7</f>
        <v>23026301.134365626</v>
      </c>
      <c r="E8" s="206">
        <f>E5+E6+E7</f>
        <v>53274209.760670491</v>
      </c>
      <c r="F8" s="206">
        <f>F5+F6+F7</f>
        <v>112981409.875</v>
      </c>
      <c r="G8" s="206">
        <f>G5+G6+G7</f>
        <v>228992320.70000005</v>
      </c>
      <c r="H8"/>
      <c r="I8" s="164" t="s">
        <v>540</v>
      </c>
      <c r="J8" s="2">
        <f>'5Y – Revenue Model'!G18</f>
        <v>21250000</v>
      </c>
    </row>
    <row r="9" spans="1:13" ht="15.5" customHeight="1" x14ac:dyDescent="0.25">
      <c r="A9" s="180" t="s">
        <v>277</v>
      </c>
      <c r="B9" s="181" t="s">
        <v>33</v>
      </c>
      <c r="C9" s="208">
        <f>C4-C8</f>
        <v>-226022.50750000001</v>
      </c>
      <c r="D9" s="208">
        <f>D4-D8</f>
        <v>19835030.355211653</v>
      </c>
      <c r="E9" s="208">
        <f>E4-E8</f>
        <v>51283484.558892824</v>
      </c>
      <c r="F9" s="208">
        <f>F4-F8</f>
        <v>98292227.1875</v>
      </c>
      <c r="G9" s="208">
        <f>G4-G8</f>
        <v>187964809.97500002</v>
      </c>
      <c r="H9"/>
      <c r="I9" s="182" t="s">
        <v>541</v>
      </c>
      <c r="J9" s="2">
        <f>'5Y – Revenue Model'!G19</f>
        <v>82092500</v>
      </c>
    </row>
    <row r="10" spans="1:13" ht="15.5" customHeight="1" x14ac:dyDescent="0.25">
      <c r="A10" s="163" t="s">
        <v>542</v>
      </c>
      <c r="B10" s="178" t="s">
        <v>15</v>
      </c>
      <c r="C10" s="183">
        <f>C9/C4</f>
        <v>-0.48356370451365566</v>
      </c>
      <c r="D10" s="183">
        <f>D9/D4</f>
        <v>0.46277214603179084</v>
      </c>
      <c r="E10" s="183">
        <f>E9/E4</f>
        <v>0.49048025487395819</v>
      </c>
      <c r="F10" s="183">
        <f>F9/F4</f>
        <v>0.46523659342515467</v>
      </c>
      <c r="G10" s="184">
        <f>G9/G4</f>
        <v>0.45080128422485333</v>
      </c>
      <c r="H10"/>
      <c r="I10"/>
      <c r="J10"/>
    </row>
    <row r="11" spans="1:13" ht="15.5" customHeight="1" x14ac:dyDescent="0.25">
      <c r="A11" s="163" t="s">
        <v>264</v>
      </c>
      <c r="B11" s="178" t="s">
        <v>33</v>
      </c>
      <c r="C11" s="207">
        <v>0</v>
      </c>
      <c r="D11" s="207">
        <v>0</v>
      </c>
      <c r="E11" s="207">
        <v>0</v>
      </c>
      <c r="F11" s="207">
        <v>0</v>
      </c>
      <c r="G11" s="207">
        <v>0</v>
      </c>
      <c r="H11"/>
      <c r="I11"/>
      <c r="J11"/>
    </row>
    <row r="12" spans="1:13" ht="15.5" customHeight="1" x14ac:dyDescent="0.25">
      <c r="A12" s="180" t="s">
        <v>543</v>
      </c>
      <c r="B12" s="181" t="s">
        <v>33</v>
      </c>
      <c r="C12" s="208">
        <f>C9-C11</f>
        <v>-226022.50750000001</v>
      </c>
      <c r="D12" s="208">
        <f>D9-D11</f>
        <v>19835030.355211653</v>
      </c>
      <c r="E12" s="208">
        <f>E9-E11</f>
        <v>51283484.558892824</v>
      </c>
      <c r="F12" s="208">
        <f>F9-F11</f>
        <v>98292227.1875</v>
      </c>
      <c r="G12" s="208">
        <f>G9-G11</f>
        <v>187964809.97500002</v>
      </c>
      <c r="H12"/>
      <c r="I12"/>
      <c r="J12"/>
    </row>
    <row r="13" spans="1:13" ht="15.5" customHeight="1" x14ac:dyDescent="0.25">
      <c r="A13" s="163" t="s">
        <v>390</v>
      </c>
      <c r="B13" s="178" t="s">
        <v>33</v>
      </c>
      <c r="C13" s="207">
        <v>1447782</v>
      </c>
      <c r="D13" s="207">
        <f>C15</f>
        <v>1447782</v>
      </c>
      <c r="E13" s="207">
        <f>D15</f>
        <v>0</v>
      </c>
      <c r="F13" s="207">
        <f>E15</f>
        <v>0</v>
      </c>
      <c r="G13" s="207">
        <f>F15</f>
        <v>0</v>
      </c>
      <c r="H13"/>
      <c r="I13"/>
      <c r="J13"/>
    </row>
    <row r="14" spans="1:13" ht="15.5" customHeight="1" x14ac:dyDescent="0.25">
      <c r="A14" s="163" t="s">
        <v>544</v>
      </c>
      <c r="B14" s="178" t="s">
        <v>33</v>
      </c>
      <c r="C14" s="207">
        <f>MIN(C13,MAX(0,C12)*0.8)</f>
        <v>0</v>
      </c>
      <c r="D14" s="207">
        <f>MIN(D13,MAX(0,D12)*0.8)</f>
        <v>1447782</v>
      </c>
      <c r="E14" s="207">
        <f>MIN(E13,MAX(0,E12)*0.8)</f>
        <v>0</v>
      </c>
      <c r="F14" s="207">
        <f>MIN(F13,MAX(0,F12)*0.8)</f>
        <v>0</v>
      </c>
      <c r="G14" s="207">
        <f>MIN(G13,MAX(0,G12)*0.8)</f>
        <v>0</v>
      </c>
      <c r="H14"/>
      <c r="I14"/>
      <c r="J14"/>
    </row>
    <row r="15" spans="1:13" ht="15.5" customHeight="1" x14ac:dyDescent="0.25">
      <c r="A15" s="163" t="s">
        <v>545</v>
      </c>
      <c r="B15" s="178" t="s">
        <v>33</v>
      </c>
      <c r="C15" s="207">
        <f>C13-C14</f>
        <v>1447782</v>
      </c>
      <c r="D15" s="207">
        <f>D13-D14</f>
        <v>0</v>
      </c>
      <c r="E15" s="207">
        <f>E13-E14</f>
        <v>0</v>
      </c>
      <c r="F15" s="207">
        <f>F13-F14</f>
        <v>0</v>
      </c>
      <c r="G15" s="207">
        <f>G13-G14</f>
        <v>0</v>
      </c>
      <c r="H15"/>
      <c r="I15"/>
      <c r="J15"/>
    </row>
    <row r="16" spans="1:13" ht="15.5" customHeight="1" x14ac:dyDescent="0.25">
      <c r="A16" s="163" t="s">
        <v>546</v>
      </c>
      <c r="B16" s="178" t="s">
        <v>33</v>
      </c>
      <c r="C16" s="207">
        <f>MAX(0,C12-C14)</f>
        <v>0</v>
      </c>
      <c r="D16" s="207">
        <f>MAX(0,D12-D14)</f>
        <v>18387248.355211653</v>
      </c>
      <c r="E16" s="207">
        <f>MAX(0,E12-E14)</f>
        <v>51283484.558892824</v>
      </c>
      <c r="F16" s="207">
        <f>MAX(0,F12-F14)</f>
        <v>98292227.1875</v>
      </c>
      <c r="G16" s="207">
        <f>MAX(0,G12-G14)</f>
        <v>187964809.97500002</v>
      </c>
      <c r="H16"/>
      <c r="I16"/>
      <c r="J16"/>
    </row>
    <row r="17" spans="1:10" ht="15.5" customHeight="1" x14ac:dyDescent="0.25">
      <c r="A17" s="163" t="s">
        <v>279</v>
      </c>
      <c r="B17" s="178" t="s">
        <v>33</v>
      </c>
      <c r="C17" s="207">
        <f>C16*0.21</f>
        <v>0</v>
      </c>
      <c r="D17" s="207">
        <f>D16*0.21</f>
        <v>3861322.154594447</v>
      </c>
      <c r="E17" s="207">
        <f>E16*0.21</f>
        <v>10769531.757367492</v>
      </c>
      <c r="F17" s="207">
        <f>F16*0.21</f>
        <v>20641367.709374998</v>
      </c>
      <c r="G17" s="207">
        <f>G16*0.21</f>
        <v>39472610.094750002</v>
      </c>
      <c r="H17"/>
      <c r="I17"/>
      <c r="J17"/>
    </row>
    <row r="18" spans="1:10" ht="15.5" customHeight="1" x14ac:dyDescent="0.25">
      <c r="A18" s="163" t="s">
        <v>547</v>
      </c>
      <c r="B18" s="178" t="s">
        <v>33</v>
      </c>
      <c r="C18" s="209">
        <v>0</v>
      </c>
      <c r="D18" s="209">
        <v>0</v>
      </c>
      <c r="E18" s="209">
        <v>0</v>
      </c>
      <c r="F18" s="209">
        <v>0</v>
      </c>
      <c r="G18" s="209">
        <v>0</v>
      </c>
      <c r="H18"/>
      <c r="I18"/>
      <c r="J18"/>
    </row>
    <row r="19" spans="1:10" ht="15.5" customHeight="1" x14ac:dyDescent="0.25">
      <c r="A19" s="164" t="s">
        <v>280</v>
      </c>
      <c r="B19" s="176" t="s">
        <v>33</v>
      </c>
      <c r="C19" s="206">
        <f>C12-C17-C18</f>
        <v>-226022.50750000001</v>
      </c>
      <c r="D19" s="206">
        <f>D12-D17-D18</f>
        <v>15973708.200617205</v>
      </c>
      <c r="E19" s="206">
        <f>E12-E17-E18</f>
        <v>40513952.801525332</v>
      </c>
      <c r="F19" s="206">
        <f>F12-F17-F18</f>
        <v>77650859.478125006</v>
      </c>
      <c r="G19" s="206">
        <f>G12-G17-G18</f>
        <v>148492199.88025004</v>
      </c>
      <c r="H19"/>
      <c r="I19"/>
      <c r="J19"/>
    </row>
    <row r="20" spans="1:10" ht="15.5" customHeight="1" x14ac:dyDescent="0.25">
      <c r="A20" s="163" t="s">
        <v>548</v>
      </c>
      <c r="B20" s="178" t="s">
        <v>33</v>
      </c>
      <c r="C20" s="207">
        <f>C19+C11</f>
        <v>-226022.50750000001</v>
      </c>
      <c r="D20" s="207">
        <f>D19+D11</f>
        <v>15973708.200617205</v>
      </c>
      <c r="E20" s="207">
        <f>E19+E11</f>
        <v>40513952.801525332</v>
      </c>
      <c r="F20" s="207">
        <f>F19+F11</f>
        <v>77650859.478125006</v>
      </c>
      <c r="G20" s="207">
        <f>G19+G11</f>
        <v>148492199.88025004</v>
      </c>
      <c r="H20"/>
      <c r="I20"/>
      <c r="J20"/>
    </row>
    <row r="21" spans="1:10" ht="15.5" customHeight="1" x14ac:dyDescent="0.25">
      <c r="A21" s="163" t="s">
        <v>549</v>
      </c>
      <c r="B21" s="178" t="s">
        <v>33</v>
      </c>
      <c r="C21" s="207">
        <v>0</v>
      </c>
      <c r="D21" s="207">
        <v>0</v>
      </c>
      <c r="E21" s="207">
        <v>0</v>
      </c>
      <c r="F21" s="207">
        <v>0</v>
      </c>
      <c r="G21" s="207">
        <v>0</v>
      </c>
      <c r="H21"/>
      <c r="I21"/>
      <c r="J21"/>
    </row>
    <row r="22" spans="1:10" ht="15.5" customHeight="1" x14ac:dyDescent="0.25">
      <c r="A22" s="180" t="s">
        <v>550</v>
      </c>
      <c r="B22" s="181" t="s">
        <v>33</v>
      </c>
      <c r="C22" s="208">
        <f>C20-C21</f>
        <v>-226022.50750000001</v>
      </c>
      <c r="D22" s="208">
        <f>D20-D21</f>
        <v>15973708.200617205</v>
      </c>
      <c r="E22" s="208">
        <f>E20-E21</f>
        <v>40513952.801525332</v>
      </c>
      <c r="F22" s="208">
        <f>F20-F21</f>
        <v>77650859.478125006</v>
      </c>
      <c r="G22" s="208">
        <f>G20-G21</f>
        <v>148492199.88025004</v>
      </c>
      <c r="H22"/>
      <c r="I22"/>
      <c r="J22"/>
    </row>
    <row r="23" spans="1:10" ht="15.5" customHeight="1" x14ac:dyDescent="0.25">
      <c r="A23" s="163" t="s">
        <v>551</v>
      </c>
      <c r="B23" s="178" t="s">
        <v>33</v>
      </c>
      <c r="C23" s="209">
        <v>642205</v>
      </c>
      <c r="D23" s="209">
        <v>0</v>
      </c>
      <c r="E23" s="209">
        <v>0</v>
      </c>
      <c r="F23" s="209">
        <v>0</v>
      </c>
      <c r="G23" s="209">
        <v>0</v>
      </c>
      <c r="H23"/>
      <c r="I23"/>
      <c r="J23"/>
    </row>
    <row r="24" spans="1:10" ht="15.5" customHeight="1" x14ac:dyDescent="0.25">
      <c r="A24" s="163" t="s">
        <v>289</v>
      </c>
      <c r="B24" s="178" t="s">
        <v>33</v>
      </c>
      <c r="C24" s="207">
        <v>1832872.83125</v>
      </c>
      <c r="D24" s="207">
        <v>2426640.3312499998</v>
      </c>
      <c r="E24" s="207">
        <v>1773515.33125</v>
      </c>
      <c r="F24" s="207">
        <v>1698515.33125</v>
      </c>
      <c r="G24" s="207">
        <v>1598515.33125</v>
      </c>
      <c r="H24"/>
      <c r="I24"/>
      <c r="J24"/>
    </row>
    <row r="25" spans="1:10" ht="15.5" customHeight="1" x14ac:dyDescent="0.25">
      <c r="A25" s="163" t="s">
        <v>295</v>
      </c>
      <c r="B25" s="178" t="s">
        <v>33</v>
      </c>
      <c r="C25" s="207">
        <v>42385</v>
      </c>
      <c r="D25" s="207">
        <v>123372.91666666667</v>
      </c>
      <c r="E25" s="207">
        <v>232331.25</v>
      </c>
      <c r="F25" s="207">
        <v>323623.58333333331</v>
      </c>
      <c r="G25" s="207">
        <v>408206.79166666669</v>
      </c>
      <c r="H25"/>
      <c r="I25"/>
      <c r="J25"/>
    </row>
    <row r="26" spans="1:10" ht="15.5" customHeight="1" x14ac:dyDescent="0.25">
      <c r="A26" s="163" t="s">
        <v>552</v>
      </c>
      <c r="B26" s="178" t="s">
        <v>33</v>
      </c>
      <c r="C26" s="207">
        <v>416182.48</v>
      </c>
      <c r="D26" s="207">
        <v>16341453.18</v>
      </c>
      <c r="E26" s="207">
        <v>56202280.979999997</v>
      </c>
      <c r="F26" s="207">
        <v>133778140.45999999</v>
      </c>
      <c r="G26" s="207">
        <v>282170340.33999997</v>
      </c>
      <c r="H26"/>
      <c r="I26"/>
      <c r="J26"/>
    </row>
    <row r="27" spans="1:10" ht="15.5" customHeight="1" x14ac:dyDescent="0.25">
      <c r="A27" s="163" t="s">
        <v>292</v>
      </c>
      <c r="B27" s="178" t="s">
        <v>33</v>
      </c>
      <c r="C27" s="207">
        <v>48437.5</v>
      </c>
      <c r="D27" s="207">
        <v>653125</v>
      </c>
      <c r="E27" s="207">
        <v>75000</v>
      </c>
      <c r="F27" s="207">
        <v>100000</v>
      </c>
      <c r="G27" s="207">
        <v>66583.831250000003</v>
      </c>
      <c r="H27"/>
      <c r="I27"/>
      <c r="J27"/>
    </row>
    <row r="28" spans="1:10" ht="15.5" customHeight="1" x14ac:dyDescent="0.25">
      <c r="A28" s="163" t="s">
        <v>293</v>
      </c>
      <c r="B28" s="178" t="s">
        <v>33</v>
      </c>
      <c r="C28" s="207">
        <v>2426640.3312499998</v>
      </c>
      <c r="D28" s="207">
        <v>1773515.33125</v>
      </c>
      <c r="E28" s="207">
        <v>1698515.33125</v>
      </c>
      <c r="F28" s="207">
        <v>1598515.33125</v>
      </c>
      <c r="G28" s="207">
        <v>1531931.5</v>
      </c>
      <c r="H28"/>
      <c r="I28"/>
      <c r="J28"/>
    </row>
    <row r="29" spans="1:10" ht="15.5" customHeight="1" x14ac:dyDescent="0.25">
      <c r="A29" s="180" t="s">
        <v>305</v>
      </c>
      <c r="B29" s="181" t="s">
        <v>33</v>
      </c>
      <c r="C29" s="208">
        <f>C31-C30</f>
        <v>367744.98</v>
      </c>
      <c r="D29" s="208">
        <f>D31-D30</f>
        <v>15320583.199999999</v>
      </c>
      <c r="E29" s="208">
        <f>E31-E30</f>
        <v>40438952.799999997</v>
      </c>
      <c r="F29" s="208">
        <f>F31-F30</f>
        <v>77550859.479999989</v>
      </c>
      <c r="G29" s="208">
        <f>G31-G30</f>
        <v>148425616.04874998</v>
      </c>
      <c r="H29"/>
      <c r="I29"/>
      <c r="J29"/>
    </row>
    <row r="30" spans="1:10" ht="15.5" customHeight="1" x14ac:dyDescent="0.25">
      <c r="A30" s="163" t="s">
        <v>306</v>
      </c>
      <c r="B30" s="178" t="s">
        <v>33</v>
      </c>
      <c r="C30" s="207">
        <f>0</f>
        <v>0</v>
      </c>
      <c r="D30" s="207">
        <f>C31</f>
        <v>367744.98</v>
      </c>
      <c r="E30" s="207">
        <f>D31</f>
        <v>15688328.18</v>
      </c>
      <c r="F30" s="207">
        <f>E31</f>
        <v>56127280.979999997</v>
      </c>
      <c r="G30" s="207">
        <f>F31</f>
        <v>133678140.45999999</v>
      </c>
      <c r="H30"/>
      <c r="I30"/>
      <c r="J30"/>
    </row>
    <row r="31" spans="1:10" ht="15.5" customHeight="1" x14ac:dyDescent="0.25">
      <c r="A31" s="182" t="s">
        <v>296</v>
      </c>
      <c r="B31" s="185" t="s">
        <v>33</v>
      </c>
      <c r="C31" s="206">
        <f>C26-C27</f>
        <v>367744.98</v>
      </c>
      <c r="D31" s="206">
        <f>D26-D27</f>
        <v>15688328.18</v>
      </c>
      <c r="E31" s="206">
        <f>E26-E27</f>
        <v>56127280.979999997</v>
      </c>
      <c r="F31" s="206">
        <f>F26-F27</f>
        <v>133678140.45999999</v>
      </c>
      <c r="G31" s="206">
        <f>G26-G27</f>
        <v>282103756.50874996</v>
      </c>
      <c r="H31"/>
      <c r="I31"/>
      <c r="J31"/>
    </row>
  </sheetData>
  <mergeCells count="2">
    <mergeCell ref="I3:M3"/>
    <mergeCell ref="A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33"/>
  <sheetViews>
    <sheetView workbookViewId="0"/>
  </sheetViews>
  <sheetFormatPr defaultColWidth="14.453125" defaultRowHeight="12.5" x14ac:dyDescent="0.25"/>
  <cols>
    <col min="1" max="1" width="3.7265625" style="1" customWidth="1"/>
    <col min="2" max="2" width="66.54296875" style="4" customWidth="1"/>
    <col min="3" max="3" width="42.6328125" style="1" customWidth="1"/>
    <col min="4" max="15" width="11" style="1" customWidth="1"/>
    <col min="16" max="19" width="14.453125" style="1" customWidth="1"/>
    <col min="20" max="20" width="16.54296875" style="1" customWidth="1"/>
    <col min="21" max="21" width="13.7265625" style="131" customWidth="1"/>
    <col min="22" max="22" width="14.453125" style="131" customWidth="1"/>
    <col min="23" max="16384" width="14.453125" style="1"/>
  </cols>
  <sheetData>
    <row r="1" spans="1:42" ht="15.5" customHeight="1" x14ac:dyDescent="0.25">
      <c r="A1"/>
      <c r="B1" s="1"/>
      <c r="C1" s="31"/>
      <c r="D1"/>
      <c r="E1"/>
      <c r="F1"/>
      <c r="G1"/>
      <c r="H1"/>
      <c r="I1"/>
      <c r="J1"/>
      <c r="K1"/>
      <c r="L1"/>
      <c r="M1"/>
      <c r="N1"/>
      <c r="O1"/>
      <c r="P1"/>
      <c r="Q1"/>
      <c r="R1"/>
      <c r="S1"/>
      <c r="T1"/>
      <c r="U1" s="6"/>
      <c r="V1" s="6"/>
      <c r="W1"/>
      <c r="X1"/>
      <c r="Y1"/>
      <c r="Z1"/>
      <c r="AA1"/>
      <c r="AB1"/>
    </row>
    <row r="2" spans="1:42" ht="15.5" customHeight="1" x14ac:dyDescent="0.25">
      <c r="A2"/>
      <c r="B2" s="20" t="s">
        <v>45</v>
      </c>
      <c r="C2" s="31"/>
      <c r="D2"/>
      <c r="E2"/>
      <c r="F2"/>
      <c r="G2"/>
      <c r="H2"/>
      <c r="I2"/>
      <c r="J2"/>
      <c r="K2"/>
      <c r="L2"/>
      <c r="M2"/>
      <c r="N2"/>
      <c r="O2"/>
      <c r="P2"/>
      <c r="Q2"/>
      <c r="R2"/>
      <c r="S2"/>
      <c r="T2"/>
      <c r="U2" s="6"/>
      <c r="V2" s="6"/>
      <c r="W2"/>
      <c r="X2"/>
      <c r="Y2"/>
      <c r="Z2"/>
      <c r="AA2"/>
      <c r="AB2"/>
    </row>
    <row r="3" spans="1:42" ht="15.5" customHeight="1" x14ac:dyDescent="0.25">
      <c r="A3"/>
      <c r="B3" s="68" t="s">
        <v>71</v>
      </c>
      <c r="C3" s="31"/>
      <c r="D3"/>
      <c r="E3"/>
      <c r="F3"/>
      <c r="G3"/>
      <c r="H3"/>
      <c r="I3"/>
      <c r="J3"/>
      <c r="K3"/>
      <c r="L3"/>
      <c r="M3"/>
      <c r="N3"/>
      <c r="O3"/>
      <c r="P3"/>
      <c r="Q3"/>
      <c r="R3"/>
      <c r="S3"/>
      <c r="T3"/>
      <c r="U3" s="6"/>
      <c r="V3" s="6"/>
      <c r="W3"/>
      <c r="X3"/>
      <c r="Y3"/>
      <c r="Z3"/>
      <c r="AA3"/>
      <c r="AB3"/>
    </row>
    <row r="4" spans="1:42" ht="15.5" customHeight="1" x14ac:dyDescent="0.25">
      <c r="A4"/>
      <c r="B4" s="1"/>
      <c r="C4" s="31"/>
      <c r="D4"/>
      <c r="E4"/>
      <c r="F4"/>
      <c r="G4"/>
      <c r="H4"/>
      <c r="I4"/>
      <c r="J4"/>
      <c r="K4"/>
      <c r="L4"/>
      <c r="M4"/>
      <c r="N4"/>
      <c r="O4"/>
      <c r="P4"/>
      <c r="Q4"/>
      <c r="R4"/>
      <c r="S4"/>
      <c r="T4"/>
      <c r="U4" s="214"/>
      <c r="V4" s="6"/>
      <c r="W4"/>
      <c r="X4"/>
      <c r="Y4"/>
      <c r="Z4"/>
      <c r="AA4"/>
      <c r="AB4"/>
    </row>
    <row r="5" spans="1:42" ht="15.5" customHeight="1" x14ac:dyDescent="0.25">
      <c r="A5"/>
      <c r="B5" s="69"/>
      <c r="C5" s="70" t="s">
        <v>99</v>
      </c>
      <c r="D5" s="57"/>
      <c r="E5" s="57"/>
      <c r="F5" s="57"/>
      <c r="G5" s="57"/>
      <c r="H5" s="57"/>
      <c r="I5" s="57"/>
      <c r="J5" s="57"/>
      <c r="K5" s="57"/>
      <c r="L5" s="57"/>
      <c r="M5" s="57"/>
      <c r="N5" s="57"/>
      <c r="O5" s="57"/>
      <c r="P5" s="57"/>
      <c r="Q5" s="57"/>
      <c r="R5" s="57"/>
      <c r="S5" s="57"/>
      <c r="T5" s="57"/>
      <c r="U5" s="215" t="s">
        <v>100</v>
      </c>
      <c r="V5" s="225"/>
      <c r="W5" s="57"/>
      <c r="X5" s="57"/>
      <c r="Y5" s="57"/>
      <c r="Z5" s="57"/>
      <c r="AA5"/>
      <c r="AB5"/>
    </row>
    <row r="6" spans="1:42" ht="15.5" customHeight="1" x14ac:dyDescent="0.25">
      <c r="A6"/>
      <c r="B6" s="1"/>
      <c r="C6" s="31"/>
      <c r="D6"/>
      <c r="E6"/>
      <c r="F6"/>
      <c r="G6"/>
      <c r="H6"/>
      <c r="I6"/>
      <c r="J6"/>
      <c r="K6"/>
      <c r="L6"/>
      <c r="M6"/>
      <c r="N6"/>
      <c r="O6"/>
      <c r="P6"/>
      <c r="Q6"/>
      <c r="R6"/>
      <c r="S6"/>
      <c r="T6"/>
      <c r="U6" s="6"/>
      <c r="V6" s="6"/>
      <c r="W6"/>
      <c r="X6"/>
      <c r="Y6"/>
      <c r="Z6"/>
      <c r="AA6"/>
      <c r="AB6"/>
    </row>
    <row r="7" spans="1:42" ht="15.5" customHeight="1" x14ac:dyDescent="0.25">
      <c r="A7"/>
      <c r="B7" s="71" t="s">
        <v>101</v>
      </c>
      <c r="C7" s="60"/>
      <c r="D7" s="61"/>
      <c r="E7" s="61"/>
      <c r="F7" s="61"/>
      <c r="G7" s="61"/>
      <c r="H7" s="61"/>
      <c r="I7" s="61"/>
      <c r="J7" s="61"/>
      <c r="K7" s="61"/>
      <c r="L7" s="61"/>
      <c r="M7" s="61"/>
      <c r="N7" s="61"/>
      <c r="O7" s="61"/>
      <c r="P7" s="61"/>
      <c r="Q7" s="61"/>
      <c r="R7" s="61"/>
      <c r="S7" s="61"/>
      <c r="T7" s="61"/>
      <c r="U7" s="216"/>
      <c r="V7" s="216"/>
      <c r="W7" s="61"/>
      <c r="X7" s="61"/>
      <c r="Y7" s="61"/>
      <c r="Z7" s="61"/>
      <c r="AA7"/>
      <c r="AB7"/>
    </row>
    <row r="8" spans="1:42" ht="15.5" customHeight="1" x14ac:dyDescent="0.25">
      <c r="A8"/>
      <c r="B8" s="1"/>
      <c r="C8" s="31"/>
      <c r="D8"/>
      <c r="E8"/>
      <c r="F8"/>
      <c r="G8"/>
      <c r="H8"/>
      <c r="I8"/>
      <c r="J8"/>
      <c r="K8"/>
      <c r="L8"/>
      <c r="M8"/>
      <c r="N8"/>
      <c r="O8"/>
      <c r="P8"/>
      <c r="Q8"/>
      <c r="R8"/>
      <c r="S8"/>
      <c r="T8"/>
      <c r="U8" s="6"/>
      <c r="V8" s="6"/>
      <c r="W8"/>
      <c r="X8"/>
      <c r="Y8"/>
      <c r="Z8"/>
      <c r="AA8"/>
      <c r="AB8"/>
    </row>
    <row r="9" spans="1:42" ht="15.5" customHeight="1" x14ac:dyDescent="0.25">
      <c r="A9"/>
      <c r="B9" s="72" t="s">
        <v>102</v>
      </c>
      <c r="C9" s="31"/>
      <c r="D9" s="73">
        <v>46266</v>
      </c>
      <c r="E9" s="74"/>
      <c r="F9" s="22" t="s">
        <v>103</v>
      </c>
      <c r="G9"/>
      <c r="H9" s="74"/>
      <c r="I9" s="74"/>
      <c r="J9" s="74"/>
      <c r="K9" s="74"/>
      <c r="L9" s="74"/>
      <c r="M9" s="74"/>
      <c r="N9" s="74"/>
      <c r="O9" s="74"/>
      <c r="P9"/>
      <c r="Q9"/>
      <c r="R9"/>
      <c r="S9"/>
      <c r="T9"/>
      <c r="U9" s="6"/>
      <c r="V9" s="6"/>
      <c r="W9"/>
      <c r="X9"/>
      <c r="Y9"/>
      <c r="Z9"/>
      <c r="AA9"/>
      <c r="AB9"/>
    </row>
    <row r="10" spans="1:42" ht="15.5" customHeight="1" x14ac:dyDescent="0.25">
      <c r="A10"/>
      <c r="B10" s="1"/>
      <c r="C10" s="31"/>
      <c r="D10"/>
      <c r="E10"/>
      <c r="F10"/>
      <c r="G10"/>
      <c r="H10"/>
      <c r="I10"/>
      <c r="J10"/>
      <c r="K10"/>
      <c r="L10"/>
      <c r="M10"/>
      <c r="N10"/>
      <c r="O10"/>
      <c r="P10"/>
      <c r="Q10"/>
      <c r="R10"/>
      <c r="S10"/>
      <c r="T10"/>
      <c r="U10" s="6"/>
      <c r="V10" s="6"/>
      <c r="W10"/>
      <c r="X10"/>
      <c r="Y10"/>
      <c r="Z10"/>
      <c r="AA10"/>
      <c r="AB10"/>
    </row>
    <row r="11" spans="1:42" ht="15.5" customHeight="1" x14ac:dyDescent="0.25">
      <c r="A11"/>
      <c r="B11" s="72" t="s">
        <v>104</v>
      </c>
      <c r="C11" s="31" t="s">
        <v>15</v>
      </c>
      <c r="D11" s="75">
        <v>0</v>
      </c>
      <c r="E11" s="76"/>
      <c r="F11"/>
      <c r="G11"/>
      <c r="H11" s="76"/>
      <c r="I11" s="76"/>
      <c r="J11" s="76"/>
      <c r="K11" s="76"/>
      <c r="L11" s="76"/>
      <c r="M11" s="76"/>
      <c r="N11" s="76"/>
      <c r="O11" s="76"/>
      <c r="P11"/>
      <c r="Q11"/>
      <c r="R11"/>
      <c r="S11"/>
      <c r="T11"/>
      <c r="U11" s="6"/>
      <c r="V11" s="6"/>
      <c r="W11"/>
      <c r="X11"/>
      <c r="Y11"/>
      <c r="Z11"/>
      <c r="AA11"/>
      <c r="AB11"/>
    </row>
    <row r="12" spans="1:42" ht="15.5" customHeight="1" x14ac:dyDescent="0.25">
      <c r="A12"/>
      <c r="B12" s="72" t="s">
        <v>105</v>
      </c>
      <c r="C12" s="31" t="s">
        <v>15</v>
      </c>
      <c r="D12" s="75">
        <v>0.21</v>
      </c>
      <c r="E12" s="76"/>
      <c r="F12" s="22"/>
      <c r="G12"/>
      <c r="H12" s="76"/>
      <c r="I12" s="76"/>
      <c r="J12" s="76"/>
      <c r="K12" s="76"/>
      <c r="L12" s="76"/>
      <c r="M12" s="76"/>
      <c r="N12" s="76"/>
      <c r="O12" s="76"/>
      <c r="P12"/>
      <c r="Q12"/>
      <c r="R12"/>
      <c r="S12"/>
      <c r="T12"/>
      <c r="U12" s="6"/>
      <c r="V12" s="6"/>
      <c r="W12"/>
      <c r="X12"/>
      <c r="Y12"/>
      <c r="Z12"/>
      <c r="AA12"/>
      <c r="AB12"/>
    </row>
    <row r="13" spans="1:42" ht="15.5" customHeight="1" x14ac:dyDescent="0.25">
      <c r="A13"/>
      <c r="B13" s="72" t="s">
        <v>106</v>
      </c>
      <c r="C13" s="31" t="s">
        <v>15</v>
      </c>
      <c r="D13" s="75">
        <v>0.1</v>
      </c>
      <c r="E13" s="77"/>
      <c r="F13" s="22" t="s">
        <v>107</v>
      </c>
      <c r="G13"/>
      <c r="H13" s="77"/>
      <c r="I13" s="77"/>
      <c r="J13" s="77"/>
      <c r="K13" s="77"/>
      <c r="L13" s="77"/>
      <c r="M13" s="77"/>
      <c r="N13" s="77"/>
      <c r="O13" s="77"/>
      <c r="P13"/>
      <c r="Q13"/>
      <c r="R13"/>
      <c r="S13"/>
      <c r="T13"/>
      <c r="U13" s="6"/>
      <c r="V13" s="6"/>
      <c r="W13"/>
      <c r="X13"/>
      <c r="Y13"/>
      <c r="Z13"/>
      <c r="AA13"/>
      <c r="AB13"/>
    </row>
    <row r="14" spans="1:42" ht="15.5" customHeight="1" x14ac:dyDescent="0.25">
      <c r="A14" s="22"/>
      <c r="B14" s="72" t="s">
        <v>108</v>
      </c>
      <c r="C14" s="31" t="s">
        <v>109</v>
      </c>
      <c r="D14" s="210">
        <v>0.05</v>
      </c>
      <c r="E14" s="22"/>
      <c r="F14" s="22" t="s">
        <v>110</v>
      </c>
      <c r="G14" s="22"/>
      <c r="H14" s="22"/>
      <c r="I14" s="22"/>
      <c r="J14" s="22"/>
      <c r="K14" s="22"/>
      <c r="L14" s="22"/>
      <c r="M14" s="22"/>
      <c r="N14" s="22"/>
      <c r="O14" s="22"/>
      <c r="P14" s="22"/>
      <c r="Q14" s="22"/>
      <c r="R14" s="22"/>
      <c r="S14" s="22"/>
      <c r="T14" s="22"/>
      <c r="U14" s="217"/>
      <c r="V14" s="217"/>
      <c r="W14" s="212"/>
      <c r="X14" s="212"/>
      <c r="Y14" s="212"/>
      <c r="Z14" s="212"/>
      <c r="AA14" s="212"/>
      <c r="AB14" s="22"/>
      <c r="AC14" s="22"/>
      <c r="AD14" s="22"/>
      <c r="AE14" s="22"/>
      <c r="AF14" s="22"/>
      <c r="AG14" s="22"/>
      <c r="AH14" s="22"/>
      <c r="AI14" s="22"/>
      <c r="AJ14" s="22"/>
      <c r="AK14" s="22"/>
      <c r="AL14" s="22"/>
      <c r="AM14" s="22"/>
      <c r="AN14" s="22"/>
      <c r="AO14" s="22"/>
    </row>
    <row r="15" spans="1:42" ht="15.5" customHeight="1" x14ac:dyDescent="0.25">
      <c r="A15" s="22"/>
      <c r="B15" s="72" t="s">
        <v>111</v>
      </c>
      <c r="C15" s="31" t="s">
        <v>15</v>
      </c>
      <c r="D15" s="75">
        <v>0.35</v>
      </c>
      <c r="E15" s="22"/>
      <c r="F15" s="22" t="s">
        <v>112</v>
      </c>
      <c r="G15" s="22"/>
      <c r="H15" s="22"/>
      <c r="I15" s="22"/>
      <c r="J15" s="22"/>
      <c r="K15" s="22"/>
      <c r="L15" s="22"/>
      <c r="M15" s="22"/>
      <c r="N15" s="22"/>
      <c r="O15" s="22"/>
      <c r="P15" s="22"/>
      <c r="Q15" s="22"/>
      <c r="R15" s="22"/>
      <c r="S15" s="22"/>
      <c r="T15" s="22"/>
      <c r="U15" s="218"/>
      <c r="V15" s="218"/>
      <c r="W15" s="213"/>
      <c r="X15" s="213"/>
      <c r="Y15" s="213"/>
      <c r="Z15" s="213"/>
      <c r="AA15" s="213"/>
      <c r="AB15" s="213"/>
      <c r="AC15" s="213"/>
      <c r="AD15" s="213"/>
      <c r="AE15" s="213"/>
      <c r="AF15" s="213"/>
      <c r="AG15" s="213"/>
      <c r="AH15" s="213"/>
      <c r="AI15" s="213"/>
      <c r="AJ15" s="213"/>
      <c r="AK15" s="213"/>
      <c r="AL15" s="213"/>
      <c r="AM15" s="213"/>
      <c r="AN15" s="213"/>
      <c r="AO15" s="213"/>
      <c r="AP15" s="213"/>
    </row>
    <row r="16" spans="1:42" s="127" customFormat="1" ht="15.5" customHeight="1" x14ac:dyDescent="0.25">
      <c r="A16" s="123"/>
      <c r="B16" s="124"/>
      <c r="C16" s="125"/>
      <c r="D16" s="126"/>
      <c r="E16" s="123"/>
      <c r="F16" s="123"/>
      <c r="G16" s="123"/>
      <c r="H16" s="123"/>
      <c r="I16" s="123"/>
      <c r="J16" s="123"/>
      <c r="K16" s="123"/>
      <c r="L16" s="123"/>
      <c r="M16" s="123"/>
      <c r="N16" s="123"/>
      <c r="O16" s="123"/>
      <c r="P16" s="123"/>
      <c r="Q16" s="123"/>
      <c r="R16" s="123"/>
      <c r="S16" s="123"/>
      <c r="T16" s="123"/>
      <c r="U16" s="218"/>
      <c r="V16" s="218"/>
      <c r="W16" s="213"/>
      <c r="X16" s="213"/>
      <c r="Y16" s="213"/>
      <c r="Z16" s="213"/>
      <c r="AA16" s="213"/>
      <c r="AB16" s="213"/>
      <c r="AC16" s="213"/>
      <c r="AD16" s="213"/>
      <c r="AE16" s="213"/>
      <c r="AF16" s="213"/>
      <c r="AG16" s="213"/>
      <c r="AH16" s="213"/>
      <c r="AI16" s="213"/>
      <c r="AJ16" s="213"/>
      <c r="AK16" s="213"/>
      <c r="AL16" s="213"/>
      <c r="AM16" s="213"/>
      <c r="AN16" s="213"/>
      <c r="AO16" s="213"/>
      <c r="AP16" s="213"/>
    </row>
    <row r="17" spans="1:42" ht="15.5" customHeight="1" x14ac:dyDescent="0.25">
      <c r="A17" s="22"/>
      <c r="B17" s="71" t="s">
        <v>113</v>
      </c>
      <c r="C17" s="60"/>
      <c r="D17" s="61"/>
      <c r="E17" s="61"/>
      <c r="F17" s="61"/>
      <c r="G17" s="61"/>
      <c r="H17" s="61"/>
      <c r="I17" s="61"/>
      <c r="J17" s="61"/>
      <c r="K17" s="61"/>
      <c r="L17" s="61"/>
      <c r="M17" s="61"/>
      <c r="N17" s="61"/>
      <c r="O17" s="61"/>
      <c r="P17" s="61"/>
      <c r="Q17" s="61"/>
      <c r="R17" s="61"/>
      <c r="S17" s="61"/>
      <c r="T17" s="61"/>
      <c r="U17" s="218"/>
      <c r="V17" s="218"/>
      <c r="W17" s="213"/>
      <c r="X17" s="213"/>
      <c r="Y17" s="213"/>
      <c r="Z17" s="213"/>
      <c r="AA17" s="213"/>
      <c r="AB17" s="213"/>
      <c r="AC17" s="213"/>
      <c r="AD17" s="213"/>
      <c r="AE17" s="213"/>
      <c r="AF17" s="213"/>
      <c r="AG17" s="213"/>
      <c r="AH17" s="213"/>
      <c r="AI17" s="213"/>
      <c r="AJ17" s="213"/>
      <c r="AK17" s="213"/>
      <c r="AL17" s="213"/>
      <c r="AM17" s="213"/>
      <c r="AN17" s="213"/>
      <c r="AO17" s="213"/>
      <c r="AP17" s="213"/>
    </row>
    <row r="18" spans="1:42" ht="15.5" customHeight="1" x14ac:dyDescent="0.25">
      <c r="A18"/>
      <c r="B18" s="1"/>
      <c r="C18" s="31"/>
      <c r="D18"/>
      <c r="E18"/>
      <c r="F18"/>
      <c r="G18"/>
      <c r="H18"/>
      <c r="I18"/>
      <c r="J18"/>
      <c r="K18"/>
      <c r="L18"/>
      <c r="M18"/>
      <c r="N18"/>
      <c r="O18"/>
      <c r="P18"/>
      <c r="Q18"/>
      <c r="R18"/>
      <c r="S18"/>
      <c r="T18"/>
      <c r="U18" s="218"/>
      <c r="V18" s="218"/>
      <c r="W18" s="213"/>
      <c r="X18" s="213"/>
      <c r="Y18" s="213"/>
      <c r="Z18" s="213"/>
      <c r="AA18" s="213"/>
      <c r="AB18" s="213"/>
      <c r="AC18" s="213"/>
      <c r="AD18" s="213"/>
      <c r="AE18" s="213"/>
      <c r="AF18" s="213"/>
      <c r="AG18" s="213"/>
      <c r="AH18" s="213"/>
      <c r="AI18" s="213"/>
      <c r="AJ18" s="213"/>
      <c r="AK18" s="213"/>
      <c r="AL18" s="213"/>
      <c r="AM18" s="213"/>
      <c r="AN18" s="213"/>
      <c r="AO18" s="213"/>
      <c r="AP18" s="213"/>
    </row>
    <row r="19" spans="1:42" ht="15.5" customHeight="1" x14ac:dyDescent="0.25">
      <c r="A19"/>
      <c r="B19" s="78" t="s">
        <v>114</v>
      </c>
      <c r="C19" s="31"/>
      <c r="D19" s="79"/>
      <c r="E19" s="79"/>
      <c r="F19" s="79"/>
      <c r="G19" s="79"/>
      <c r="H19" s="79"/>
      <c r="I19" s="79"/>
      <c r="J19" s="79"/>
      <c r="K19" s="79"/>
      <c r="L19" s="79"/>
      <c r="M19" s="79"/>
      <c r="N19" s="79"/>
      <c r="O19" s="79"/>
      <c r="P19" s="79"/>
      <c r="Q19" s="79"/>
      <c r="R19" s="79"/>
      <c r="S19" s="79"/>
      <c r="T19" s="79"/>
      <c r="U19" s="218"/>
      <c r="V19" s="218"/>
      <c r="W19" s="213"/>
      <c r="X19" s="213"/>
      <c r="Y19" s="213"/>
      <c r="Z19" s="213"/>
      <c r="AA19" s="213"/>
      <c r="AB19" s="213"/>
      <c r="AC19" s="213"/>
      <c r="AD19" s="213"/>
      <c r="AE19" s="213"/>
      <c r="AF19" s="213"/>
      <c r="AG19" s="213"/>
      <c r="AH19" s="213"/>
      <c r="AI19" s="213"/>
      <c r="AJ19" s="213"/>
      <c r="AK19" s="213"/>
      <c r="AL19" s="213"/>
      <c r="AM19" s="213"/>
      <c r="AN19" s="213"/>
      <c r="AO19" s="213"/>
      <c r="AP19" s="213"/>
    </row>
    <row r="20" spans="1:42" ht="15.5" customHeight="1" x14ac:dyDescent="0.25">
      <c r="A20"/>
      <c r="B20" s="80" t="s">
        <v>115</v>
      </c>
      <c r="C20" s="31"/>
      <c r="D20" s="79" t="s">
        <v>16</v>
      </c>
      <c r="E20" s="79" t="s">
        <v>17</v>
      </c>
      <c r="F20" s="79" t="s">
        <v>18</v>
      </c>
      <c r="G20" s="79" t="s">
        <v>19</v>
      </c>
      <c r="H20" s="79" t="s">
        <v>20</v>
      </c>
      <c r="I20" s="79" t="s">
        <v>21</v>
      </c>
      <c r="J20" s="79" t="s">
        <v>22</v>
      </c>
      <c r="K20" s="79" t="s">
        <v>23</v>
      </c>
      <c r="L20" s="79" t="s">
        <v>24</v>
      </c>
      <c r="M20" s="79" t="s">
        <v>25</v>
      </c>
      <c r="N20" s="79" t="s">
        <v>26</v>
      </c>
      <c r="O20" s="79" t="s">
        <v>27</v>
      </c>
      <c r="P20" s="79" t="s">
        <v>28</v>
      </c>
      <c r="Q20" s="79" t="s">
        <v>29</v>
      </c>
      <c r="R20" s="79" t="s">
        <v>30</v>
      </c>
      <c r="S20" s="79" t="s">
        <v>31</v>
      </c>
      <c r="T20" s="79" t="s">
        <v>32</v>
      </c>
      <c r="U20" s="218"/>
      <c r="V20" s="218"/>
      <c r="W20" s="213"/>
      <c r="X20" s="213"/>
      <c r="Y20" s="213"/>
      <c r="Z20" s="213"/>
      <c r="AA20" s="213"/>
      <c r="AB20" s="213"/>
      <c r="AC20" s="213"/>
      <c r="AD20" s="213"/>
      <c r="AE20" s="213"/>
      <c r="AF20" s="213"/>
      <c r="AG20" s="213"/>
      <c r="AH20" s="213"/>
      <c r="AI20" s="213"/>
      <c r="AJ20" s="213"/>
      <c r="AK20" s="213"/>
      <c r="AL20" s="213"/>
      <c r="AM20" s="213"/>
      <c r="AN20" s="213"/>
      <c r="AO20" s="213"/>
      <c r="AP20" s="213"/>
    </row>
    <row r="21" spans="1:42" ht="15.5" customHeight="1" x14ac:dyDescent="0.25">
      <c r="A21"/>
      <c r="B21" s="72" t="s">
        <v>116</v>
      </c>
      <c r="C21" s="31" t="s">
        <v>15</v>
      </c>
      <c r="D21" s="86">
        <v>0</v>
      </c>
      <c r="E21" s="86">
        <v>0</v>
      </c>
      <c r="F21" s="86">
        <v>0</v>
      </c>
      <c r="G21" s="86">
        <v>0</v>
      </c>
      <c r="H21" s="86">
        <v>0</v>
      </c>
      <c r="I21" s="86">
        <v>0</v>
      </c>
      <c r="J21" s="86">
        <v>0</v>
      </c>
      <c r="K21" s="86">
        <v>0</v>
      </c>
      <c r="L21" s="86">
        <v>0</v>
      </c>
      <c r="M21" s="86">
        <v>0</v>
      </c>
      <c r="N21" s="86">
        <v>0</v>
      </c>
      <c r="O21" s="86">
        <v>0</v>
      </c>
      <c r="P21" s="86">
        <v>5.0000000000000001E-3</v>
      </c>
      <c r="Q21" s="86">
        <v>5.0000000000000001E-3</v>
      </c>
      <c r="R21" s="86">
        <v>5.0000000000000001E-3</v>
      </c>
      <c r="S21" s="86">
        <v>5.0000000000000001E-3</v>
      </c>
      <c r="T21" s="86">
        <v>5.0000000000000001E-3</v>
      </c>
      <c r="U21" s="218" t="s">
        <v>117</v>
      </c>
      <c r="V21" s="218"/>
      <c r="W21" s="213"/>
      <c r="X21" s="213"/>
      <c r="Y21" s="213"/>
      <c r="Z21" s="213"/>
      <c r="AA21" s="213"/>
      <c r="AB21" s="213"/>
      <c r="AC21" s="213"/>
      <c r="AD21" s="213"/>
      <c r="AE21" s="213"/>
      <c r="AF21" s="213"/>
      <c r="AG21" s="213"/>
      <c r="AH21" s="213"/>
      <c r="AI21" s="213"/>
      <c r="AJ21" s="213"/>
      <c r="AK21" s="213"/>
      <c r="AL21" s="213"/>
      <c r="AM21" s="213"/>
      <c r="AN21" s="213"/>
      <c r="AO21" s="213"/>
      <c r="AP21" s="213"/>
    </row>
    <row r="22" spans="1:42" ht="15.5" customHeight="1" x14ac:dyDescent="0.25">
      <c r="A22"/>
      <c r="B22" s="72" t="s">
        <v>118</v>
      </c>
      <c r="C22" s="31" t="s">
        <v>119</v>
      </c>
      <c r="D22" s="106">
        <v>75</v>
      </c>
      <c r="E22" s="107">
        <f t="shared" ref="E22:O22" si="0">D22*(1+E21)</f>
        <v>75</v>
      </c>
      <c r="F22" s="107">
        <f t="shared" si="0"/>
        <v>75</v>
      </c>
      <c r="G22" s="107">
        <f t="shared" si="0"/>
        <v>75</v>
      </c>
      <c r="H22" s="107">
        <f t="shared" si="0"/>
        <v>75</v>
      </c>
      <c r="I22" s="107">
        <f t="shared" si="0"/>
        <v>75</v>
      </c>
      <c r="J22" s="107">
        <f t="shared" si="0"/>
        <v>75</v>
      </c>
      <c r="K22" s="107">
        <f t="shared" si="0"/>
        <v>75</v>
      </c>
      <c r="L22" s="107">
        <f t="shared" si="0"/>
        <v>75</v>
      </c>
      <c r="M22" s="107">
        <f t="shared" si="0"/>
        <v>75</v>
      </c>
      <c r="N22" s="107">
        <f t="shared" si="0"/>
        <v>75</v>
      </c>
      <c r="O22" s="107">
        <f t="shared" si="0"/>
        <v>75</v>
      </c>
      <c r="P22" s="107">
        <f>ROUND($O22*(1+$P$21)^3,0)</f>
        <v>76</v>
      </c>
      <c r="Q22" s="107">
        <f>ROUND($O22*(1+$P$21)^3*(1+$Q$21)^3,0)</f>
        <v>77</v>
      </c>
      <c r="R22" s="107">
        <f>ROUND($O22*(1+$P$21)^3*(1+$Q$21)^3*(1+$R$21)^3,0)</f>
        <v>78</v>
      </c>
      <c r="S22" s="107">
        <f>ROUND($O22*(1+$P$21)^3*(1+$Q$21)^3*(1+$R$21)^3*(1+$S$21)^3,0)</f>
        <v>80</v>
      </c>
      <c r="T22" s="107">
        <f>ROUND($O22*(1+$P$21)^3*(1+$Q$21)^3*(1+$R$21)^3*(1+$S$21)^3*(1+$T$21)^12,0)</f>
        <v>85</v>
      </c>
      <c r="U22" s="218" t="s">
        <v>120</v>
      </c>
      <c r="V22" s="218"/>
      <c r="W22" s="213"/>
      <c r="X22" s="213"/>
      <c r="Y22" s="213"/>
      <c r="Z22" s="213"/>
      <c r="AA22" s="213"/>
      <c r="AB22" s="213"/>
      <c r="AC22" s="213"/>
      <c r="AD22" s="213"/>
      <c r="AE22" s="213"/>
      <c r="AF22" s="213"/>
      <c r="AG22" s="213"/>
      <c r="AH22" s="213"/>
      <c r="AI22" s="213"/>
      <c r="AJ22" s="213"/>
      <c r="AK22" s="213"/>
      <c r="AL22" s="213"/>
      <c r="AM22" s="213"/>
      <c r="AN22" s="213"/>
      <c r="AO22" s="213"/>
      <c r="AP22" s="213"/>
    </row>
    <row r="23" spans="1:42" ht="15.5" customHeight="1" x14ac:dyDescent="0.25">
      <c r="A23"/>
      <c r="B23" s="72" t="s">
        <v>121</v>
      </c>
      <c r="C23" s="45" t="s">
        <v>15</v>
      </c>
      <c r="D23" s="75">
        <v>0</v>
      </c>
      <c r="E23" s="75">
        <v>0</v>
      </c>
      <c r="F23" s="75">
        <v>0</v>
      </c>
      <c r="G23" s="75">
        <v>0</v>
      </c>
      <c r="H23" s="75">
        <v>0</v>
      </c>
      <c r="I23" s="75">
        <v>0</v>
      </c>
      <c r="J23" s="75">
        <v>0</v>
      </c>
      <c r="K23" s="75">
        <v>0</v>
      </c>
      <c r="L23" s="75">
        <v>0</v>
      </c>
      <c r="M23" s="75">
        <v>0</v>
      </c>
      <c r="N23" s="75">
        <v>0</v>
      </c>
      <c r="O23" s="75">
        <v>0</v>
      </c>
      <c r="P23" s="75">
        <v>0</v>
      </c>
      <c r="Q23" s="75">
        <v>0</v>
      </c>
      <c r="R23" s="75">
        <v>0</v>
      </c>
      <c r="S23" s="75">
        <v>5.0000000000000001E-3</v>
      </c>
      <c r="T23" s="75">
        <v>5.0000000000000001E-3</v>
      </c>
      <c r="U23" s="218" t="s">
        <v>122</v>
      </c>
      <c r="V23" s="218"/>
      <c r="W23" s="213"/>
      <c r="X23" s="213"/>
      <c r="Y23" s="213"/>
      <c r="Z23" s="213"/>
      <c r="AA23" s="213"/>
      <c r="AB23" s="213"/>
      <c r="AC23" s="213"/>
      <c r="AD23" s="213"/>
      <c r="AE23" s="213"/>
      <c r="AF23" s="213"/>
      <c r="AG23" s="213"/>
      <c r="AH23" s="213"/>
      <c r="AI23" s="213"/>
      <c r="AJ23" s="213"/>
      <c r="AK23" s="213"/>
      <c r="AL23" s="213"/>
      <c r="AM23" s="213"/>
      <c r="AN23" s="213"/>
      <c r="AO23" s="213"/>
      <c r="AP23" s="213"/>
    </row>
    <row r="24" spans="1:42" ht="15.5" customHeight="1" x14ac:dyDescent="0.25">
      <c r="A24"/>
      <c r="B24" s="72" t="s">
        <v>123</v>
      </c>
      <c r="C24" s="82" t="s">
        <v>124</v>
      </c>
      <c r="D24" s="83">
        <v>1500</v>
      </c>
      <c r="E24" s="83">
        <v>1500</v>
      </c>
      <c r="F24" s="83">
        <v>1500</v>
      </c>
      <c r="G24" s="83">
        <v>1500</v>
      </c>
      <c r="H24" s="83">
        <v>1500</v>
      </c>
      <c r="I24" s="83">
        <v>1500</v>
      </c>
      <c r="J24" s="83">
        <v>1500</v>
      </c>
      <c r="K24" s="83">
        <v>1500</v>
      </c>
      <c r="L24" s="83">
        <v>1500</v>
      </c>
      <c r="M24" s="83">
        <v>1500</v>
      </c>
      <c r="N24" s="83">
        <v>1500</v>
      </c>
      <c r="O24" s="83">
        <v>1500</v>
      </c>
      <c r="P24" s="83">
        <v>1500</v>
      </c>
      <c r="Q24" s="83">
        <v>1500</v>
      </c>
      <c r="R24" s="83">
        <v>1500</v>
      </c>
      <c r="S24" s="83">
        <v>1500</v>
      </c>
      <c r="T24" s="83">
        <v>1500</v>
      </c>
      <c r="U24" s="218" t="s">
        <v>125</v>
      </c>
      <c r="V24" s="218"/>
      <c r="W24" s="213"/>
      <c r="X24" s="213"/>
      <c r="Y24" s="213"/>
      <c r="Z24" s="213"/>
      <c r="AA24" s="213"/>
      <c r="AB24" s="213"/>
      <c r="AC24" s="213"/>
      <c r="AD24" s="213"/>
      <c r="AE24" s="213"/>
      <c r="AF24" s="213"/>
      <c r="AG24" s="213"/>
      <c r="AH24" s="213"/>
      <c r="AI24" s="213"/>
      <c r="AJ24" s="213"/>
      <c r="AK24" s="213"/>
      <c r="AL24" s="213"/>
      <c r="AM24" s="213"/>
      <c r="AN24" s="213"/>
      <c r="AO24" s="213"/>
      <c r="AP24" s="213"/>
    </row>
    <row r="25" spans="1:42" ht="15.5" customHeight="1" x14ac:dyDescent="0.25">
      <c r="A25"/>
      <c r="B25" s="72" t="s">
        <v>126</v>
      </c>
      <c r="C25" s="31" t="s">
        <v>127</v>
      </c>
      <c r="D25" s="83">
        <v>3</v>
      </c>
      <c r="E25" s="83">
        <v>3</v>
      </c>
      <c r="F25" s="83">
        <v>3</v>
      </c>
      <c r="G25" s="83">
        <v>3</v>
      </c>
      <c r="H25" s="83">
        <v>3</v>
      </c>
      <c r="I25" s="83">
        <v>3</v>
      </c>
      <c r="J25" s="83">
        <v>3</v>
      </c>
      <c r="K25" s="83">
        <v>3</v>
      </c>
      <c r="L25" s="83">
        <v>3</v>
      </c>
      <c r="M25" s="83">
        <v>3</v>
      </c>
      <c r="N25" s="83">
        <v>3</v>
      </c>
      <c r="O25" s="83">
        <v>3</v>
      </c>
      <c r="P25" s="84">
        <f>$O$25</f>
        <v>3</v>
      </c>
      <c r="Q25" s="84">
        <f>$O$25</f>
        <v>3</v>
      </c>
      <c r="R25" s="84">
        <f>$O$25</f>
        <v>3</v>
      </c>
      <c r="S25" s="84">
        <f>$O$25</f>
        <v>3</v>
      </c>
      <c r="T25" s="84">
        <f>$O$25</f>
        <v>3</v>
      </c>
      <c r="U25" s="218" t="s">
        <v>128</v>
      </c>
      <c r="V25" s="218"/>
      <c r="W25" s="213"/>
      <c r="X25" s="213"/>
      <c r="Y25" s="213"/>
      <c r="Z25" s="213"/>
      <c r="AA25" s="213"/>
      <c r="AB25" s="213"/>
      <c r="AC25" s="213"/>
      <c r="AD25" s="213"/>
      <c r="AE25" s="213"/>
      <c r="AF25" s="213"/>
      <c r="AG25" s="213"/>
      <c r="AH25" s="213"/>
      <c r="AI25" s="213"/>
      <c r="AJ25" s="213"/>
      <c r="AK25" s="213"/>
      <c r="AL25" s="213"/>
      <c r="AM25" s="213"/>
      <c r="AN25" s="213"/>
      <c r="AO25" s="213"/>
      <c r="AP25" s="213"/>
    </row>
    <row r="26" spans="1:42" ht="15.5" customHeight="1" x14ac:dyDescent="0.25">
      <c r="A26"/>
      <c r="B26" s="72" t="s">
        <v>129</v>
      </c>
      <c r="C26" s="31" t="s">
        <v>33</v>
      </c>
      <c r="D26" s="84">
        <f t="shared" ref="D26:T26" si="1">D22*D23*D24*D25</f>
        <v>0</v>
      </c>
      <c r="E26" s="84">
        <f t="shared" si="1"/>
        <v>0</v>
      </c>
      <c r="F26" s="84">
        <f t="shared" si="1"/>
        <v>0</v>
      </c>
      <c r="G26" s="84">
        <f t="shared" si="1"/>
        <v>0</v>
      </c>
      <c r="H26" s="84">
        <f t="shared" si="1"/>
        <v>0</v>
      </c>
      <c r="I26" s="84">
        <f t="shared" si="1"/>
        <v>0</v>
      </c>
      <c r="J26" s="84">
        <f t="shared" si="1"/>
        <v>0</v>
      </c>
      <c r="K26" s="84">
        <f t="shared" si="1"/>
        <v>0</v>
      </c>
      <c r="L26" s="84">
        <f t="shared" si="1"/>
        <v>0</v>
      </c>
      <c r="M26" s="84">
        <f t="shared" si="1"/>
        <v>0</v>
      </c>
      <c r="N26" s="84">
        <f t="shared" si="1"/>
        <v>0</v>
      </c>
      <c r="O26" s="84">
        <f t="shared" si="1"/>
        <v>0</v>
      </c>
      <c r="P26" s="84">
        <f t="shared" si="1"/>
        <v>0</v>
      </c>
      <c r="Q26" s="84">
        <f t="shared" si="1"/>
        <v>0</v>
      </c>
      <c r="R26" s="84">
        <f t="shared" si="1"/>
        <v>0</v>
      </c>
      <c r="S26" s="84">
        <f t="shared" si="1"/>
        <v>1800</v>
      </c>
      <c r="T26" s="84">
        <f t="shared" si="1"/>
        <v>1912.5</v>
      </c>
      <c r="U26" s="218"/>
      <c r="V26" s="218"/>
      <c r="W26" s="213"/>
      <c r="X26" s="213"/>
      <c r="Y26" s="213"/>
      <c r="Z26" s="213"/>
      <c r="AA26" s="213"/>
      <c r="AB26" s="213"/>
      <c r="AC26" s="213"/>
      <c r="AD26" s="213"/>
      <c r="AE26" s="213"/>
      <c r="AF26" s="213"/>
      <c r="AG26" s="213"/>
      <c r="AH26" s="213"/>
      <c r="AI26" s="213"/>
      <c r="AJ26" s="213"/>
      <c r="AK26" s="213"/>
      <c r="AL26" s="213"/>
      <c r="AM26" s="213"/>
      <c r="AN26" s="213"/>
      <c r="AO26" s="213"/>
      <c r="AP26" s="213"/>
    </row>
    <row r="27" spans="1:42" ht="15.5" customHeight="1" x14ac:dyDescent="0.25">
      <c r="A27"/>
      <c r="B27" s="72"/>
      <c r="C27"/>
      <c r="D27" s="34"/>
      <c r="E27" s="34"/>
      <c r="F27" s="34"/>
      <c r="G27" s="34"/>
      <c r="H27" s="34"/>
      <c r="I27" s="34"/>
      <c r="J27" s="34"/>
      <c r="K27" s="34"/>
      <c r="L27" s="34"/>
      <c r="M27" s="34"/>
      <c r="N27" s="34"/>
      <c r="O27" s="34"/>
      <c r="P27" s="34"/>
      <c r="Q27" s="34"/>
      <c r="R27" s="34"/>
      <c r="S27" s="34"/>
      <c r="T27" s="34"/>
      <c r="U27" s="218"/>
      <c r="V27" s="218"/>
      <c r="W27" s="213"/>
      <c r="X27" s="213"/>
      <c r="Y27" s="213"/>
      <c r="Z27" s="213"/>
      <c r="AA27" s="213"/>
      <c r="AB27" s="213"/>
      <c r="AC27" s="213"/>
      <c r="AD27" s="213"/>
      <c r="AE27" s="213"/>
      <c r="AF27" s="213"/>
      <c r="AG27" s="213"/>
      <c r="AH27" s="213"/>
      <c r="AI27" s="213"/>
      <c r="AJ27" s="213"/>
      <c r="AK27" s="213"/>
      <c r="AL27" s="213"/>
      <c r="AM27" s="213"/>
      <c r="AN27" s="213"/>
      <c r="AO27" s="213"/>
      <c r="AP27" s="213"/>
    </row>
    <row r="28" spans="1:42" ht="15.5" customHeight="1" x14ac:dyDescent="0.25">
      <c r="A28"/>
      <c r="B28" s="80" t="s">
        <v>130</v>
      </c>
      <c r="C28" s="31"/>
      <c r="D28" s="79" t="s">
        <v>16</v>
      </c>
      <c r="E28" s="79" t="s">
        <v>17</v>
      </c>
      <c r="F28" s="79" t="s">
        <v>18</v>
      </c>
      <c r="G28" s="79" t="s">
        <v>19</v>
      </c>
      <c r="H28" s="79" t="s">
        <v>20</v>
      </c>
      <c r="I28" s="79" t="s">
        <v>21</v>
      </c>
      <c r="J28" s="79" t="s">
        <v>22</v>
      </c>
      <c r="K28" s="79" t="s">
        <v>23</v>
      </c>
      <c r="L28" s="79" t="s">
        <v>24</v>
      </c>
      <c r="M28" s="79" t="s">
        <v>25</v>
      </c>
      <c r="N28" s="79" t="s">
        <v>26</v>
      </c>
      <c r="O28" s="79" t="s">
        <v>27</v>
      </c>
      <c r="P28" s="79" t="s">
        <v>28</v>
      </c>
      <c r="Q28" s="79" t="s">
        <v>29</v>
      </c>
      <c r="R28" s="79" t="s">
        <v>30</v>
      </c>
      <c r="S28" s="79" t="s">
        <v>31</v>
      </c>
      <c r="T28" s="79" t="s">
        <v>32</v>
      </c>
      <c r="U28" s="218"/>
      <c r="V28" s="218"/>
      <c r="W28" s="213"/>
      <c r="X28" s="213"/>
      <c r="Y28" s="213"/>
      <c r="Z28" s="213"/>
      <c r="AA28" s="213"/>
      <c r="AB28" s="213"/>
      <c r="AC28" s="213"/>
      <c r="AD28" s="213"/>
      <c r="AE28" s="213"/>
      <c r="AF28" s="213"/>
      <c r="AG28" s="213"/>
      <c r="AH28" s="213"/>
      <c r="AI28" s="213"/>
      <c r="AJ28" s="213"/>
      <c r="AK28" s="213"/>
      <c r="AL28" s="213"/>
      <c r="AM28" s="213"/>
      <c r="AN28" s="213"/>
      <c r="AO28" s="213"/>
      <c r="AP28" s="213"/>
    </row>
    <row r="29" spans="1:42" ht="15.5" customHeight="1" x14ac:dyDescent="0.25">
      <c r="A29"/>
      <c r="B29" s="72" t="s">
        <v>116</v>
      </c>
      <c r="C29" s="31" t="s">
        <v>15</v>
      </c>
      <c r="D29" s="86">
        <v>0</v>
      </c>
      <c r="E29" s="86">
        <v>6.5000000000000002E-2</v>
      </c>
      <c r="F29" s="86">
        <v>6.5000000000000002E-2</v>
      </c>
      <c r="G29" s="86">
        <v>6.5000000000000002E-2</v>
      </c>
      <c r="H29" s="86">
        <v>6.5000000000000002E-2</v>
      </c>
      <c r="I29" s="86">
        <v>6.5000000000000002E-2</v>
      </c>
      <c r="J29" s="86">
        <v>6.5000000000000002E-2</v>
      </c>
      <c r="K29" s="86">
        <v>6.5000000000000002E-2</v>
      </c>
      <c r="L29" s="86">
        <v>6.5000000000000002E-2</v>
      </c>
      <c r="M29" s="86">
        <v>6.5000000000000002E-2</v>
      </c>
      <c r="N29" s="86">
        <v>6.5000000000000002E-2</v>
      </c>
      <c r="O29" s="86">
        <v>6.5000000000000002E-2</v>
      </c>
      <c r="P29" s="86">
        <v>7.9348438063776117E-2</v>
      </c>
      <c r="Q29" s="86">
        <v>7.9348438063776117E-2</v>
      </c>
      <c r="R29" s="86">
        <v>7.9348438063776117E-2</v>
      </c>
      <c r="S29" s="86">
        <v>7.9348438063776117E-2</v>
      </c>
      <c r="T29" s="86">
        <v>5.946309435929531E-2</v>
      </c>
      <c r="U29" s="218"/>
      <c r="V29" s="218"/>
      <c r="W29" s="213"/>
      <c r="X29" s="213"/>
      <c r="Y29" s="213"/>
      <c r="Z29" s="213"/>
      <c r="AA29" s="213"/>
      <c r="AB29" s="213"/>
      <c r="AC29" s="213"/>
      <c r="AD29" s="213"/>
      <c r="AE29" s="213"/>
      <c r="AF29" s="213"/>
      <c r="AG29" s="213"/>
      <c r="AH29" s="213"/>
      <c r="AI29" s="213"/>
      <c r="AJ29" s="213"/>
      <c r="AK29" s="213"/>
      <c r="AL29" s="213"/>
      <c r="AM29" s="213"/>
      <c r="AN29" s="213"/>
      <c r="AO29" s="213"/>
      <c r="AP29" s="213"/>
    </row>
    <row r="30" spans="1:42" ht="15.5" customHeight="1" x14ac:dyDescent="0.25">
      <c r="A30"/>
      <c r="B30" s="72" t="s">
        <v>131</v>
      </c>
      <c r="C30" s="31" t="s">
        <v>132</v>
      </c>
      <c r="D30" s="108">
        <v>1</v>
      </c>
      <c r="E30" s="109">
        <f t="shared" ref="E30:N30" si="2">ROUND($D30*(1+$E$29),0)</f>
        <v>1</v>
      </c>
      <c r="F30" s="109">
        <f t="shared" si="2"/>
        <v>1</v>
      </c>
      <c r="G30" s="109">
        <f t="shared" si="2"/>
        <v>1</v>
      </c>
      <c r="H30" s="109">
        <f t="shared" si="2"/>
        <v>1</v>
      </c>
      <c r="I30" s="109">
        <f t="shared" si="2"/>
        <v>1</v>
      </c>
      <c r="J30" s="109">
        <f t="shared" si="2"/>
        <v>1</v>
      </c>
      <c r="K30" s="109">
        <f t="shared" si="2"/>
        <v>1</v>
      </c>
      <c r="L30" s="109">
        <f t="shared" si="2"/>
        <v>1</v>
      </c>
      <c r="M30" s="109">
        <f t="shared" si="2"/>
        <v>1</v>
      </c>
      <c r="N30" s="109">
        <f t="shared" si="2"/>
        <v>1</v>
      </c>
      <c r="O30" s="109">
        <f>ROUND($D30*(1+$E$29)*(1+$F$29)*(1+$G$29)*(1+$H$29)*(1+$I$29)*(1+$J$29)*(1+$K$29)*(1+$L$29)*(1+$M$29)*(1+$N$29)*(1+$O$29),0)</f>
        <v>2</v>
      </c>
      <c r="P30" s="109">
        <f>ROUND($O30*(1+$P$29)^3,0)</f>
        <v>3</v>
      </c>
      <c r="Q30" s="109">
        <f>ROUND($O30*(1+$P$29)^3*(1+$Q$29)^3,0)</f>
        <v>3</v>
      </c>
      <c r="R30" s="109">
        <f>ROUND($O30*(1+$P$29)^3*(1+$Q$29)^3*(1+$R$29)^3,0)</f>
        <v>4</v>
      </c>
      <c r="S30" s="109">
        <f>ROUND($O30*(1+$P$29)^3*(1+$Q$29)^3*(1+$R$29)^3*(1+$S$29)^3,0)</f>
        <v>5</v>
      </c>
      <c r="T30" s="109">
        <f>ROUND($O30*(1+$P$29)^3*(1+$Q$29)^3*(1+$R$29)^3*(1+$S$29)^3*(1+$T$29)^12,0)</f>
        <v>10</v>
      </c>
      <c r="U30" s="218"/>
      <c r="V30" s="218"/>
      <c r="W30" s="213"/>
      <c r="X30" s="213"/>
      <c r="Y30" s="213"/>
      <c r="Z30" s="213"/>
      <c r="AA30" s="213"/>
      <c r="AB30" s="213"/>
      <c r="AC30" s="213"/>
      <c r="AD30" s="213"/>
      <c r="AE30" s="213"/>
      <c r="AF30" s="213"/>
      <c r="AG30" s="213"/>
      <c r="AH30" s="213"/>
      <c r="AI30" s="213"/>
      <c r="AJ30" s="213"/>
      <c r="AK30" s="213"/>
      <c r="AL30" s="213"/>
      <c r="AM30" s="213"/>
      <c r="AN30" s="213"/>
      <c r="AO30" s="213"/>
      <c r="AP30" s="213"/>
    </row>
    <row r="31" spans="1:42" ht="15.5" customHeight="1" x14ac:dyDescent="0.25">
      <c r="A31"/>
      <c r="B31" s="72" t="s">
        <v>133</v>
      </c>
      <c r="C31" s="31" t="s">
        <v>134</v>
      </c>
      <c r="D31" s="83">
        <v>0</v>
      </c>
      <c r="E31" s="83">
        <v>0</v>
      </c>
      <c r="F31" s="83">
        <v>0</v>
      </c>
      <c r="G31" s="83">
        <v>0</v>
      </c>
      <c r="H31" s="83">
        <v>0</v>
      </c>
      <c r="I31" s="83">
        <v>0</v>
      </c>
      <c r="J31" s="83">
        <v>25000</v>
      </c>
      <c r="K31" s="83">
        <v>25000</v>
      </c>
      <c r="L31" s="83">
        <v>25000</v>
      </c>
      <c r="M31" s="83">
        <v>25000</v>
      </c>
      <c r="N31" s="83">
        <v>25000</v>
      </c>
      <c r="O31" s="83">
        <v>25000</v>
      </c>
      <c r="P31" s="83">
        <v>25000</v>
      </c>
      <c r="Q31" s="83">
        <v>25000</v>
      </c>
      <c r="R31" s="83">
        <v>25000</v>
      </c>
      <c r="S31" s="83">
        <v>25000</v>
      </c>
      <c r="T31" s="83">
        <v>25000</v>
      </c>
      <c r="U31" s="218"/>
      <c r="V31" s="218"/>
      <c r="W31" s="213"/>
      <c r="X31" s="213"/>
      <c r="Y31" s="213"/>
      <c r="Z31" s="213"/>
      <c r="AA31" s="213"/>
      <c r="AB31" s="213"/>
      <c r="AC31" s="213"/>
      <c r="AD31" s="213"/>
      <c r="AE31" s="213"/>
      <c r="AF31" s="213"/>
      <c r="AG31" s="213"/>
      <c r="AH31" s="213"/>
      <c r="AI31" s="213"/>
      <c r="AJ31" s="213"/>
      <c r="AK31" s="213"/>
      <c r="AL31" s="213"/>
      <c r="AM31" s="213"/>
      <c r="AN31" s="213"/>
      <c r="AO31" s="213"/>
      <c r="AP31" s="213"/>
    </row>
    <row r="32" spans="1:42" ht="15.5" customHeight="1" x14ac:dyDescent="0.25">
      <c r="A32"/>
      <c r="B32" s="72" t="s">
        <v>135</v>
      </c>
      <c r="C32" s="45" t="s">
        <v>15</v>
      </c>
      <c r="D32" s="75">
        <v>0</v>
      </c>
      <c r="E32" s="75">
        <v>0</v>
      </c>
      <c r="F32" s="75">
        <v>0</v>
      </c>
      <c r="G32" s="75">
        <v>0</v>
      </c>
      <c r="H32" s="75">
        <v>0</v>
      </c>
      <c r="I32" s="75">
        <v>0</v>
      </c>
      <c r="J32" s="75">
        <v>0.05</v>
      </c>
      <c r="K32" s="75">
        <v>0.05</v>
      </c>
      <c r="L32" s="75">
        <v>0.05</v>
      </c>
      <c r="M32" s="75">
        <v>0.05</v>
      </c>
      <c r="N32" s="75">
        <v>0.05</v>
      </c>
      <c r="O32" s="75">
        <v>0.05</v>
      </c>
      <c r="P32" s="75">
        <v>0.05</v>
      </c>
      <c r="Q32" s="75">
        <v>0.1</v>
      </c>
      <c r="R32" s="75">
        <v>0.1</v>
      </c>
      <c r="S32" s="75">
        <v>0.1</v>
      </c>
      <c r="T32" s="75">
        <v>0.1</v>
      </c>
      <c r="U32" s="218"/>
      <c r="V32" s="218"/>
      <c r="W32" s="213"/>
      <c r="X32" s="213"/>
      <c r="Y32" s="213"/>
      <c r="Z32" s="213"/>
      <c r="AA32" s="213"/>
      <c r="AB32" s="213"/>
      <c r="AC32" s="213"/>
      <c r="AD32" s="213"/>
      <c r="AE32" s="213"/>
      <c r="AF32" s="213"/>
      <c r="AG32" s="213"/>
      <c r="AH32" s="213"/>
      <c r="AI32" s="213"/>
      <c r="AJ32" s="213"/>
      <c r="AK32" s="213"/>
      <c r="AL32" s="213"/>
      <c r="AM32" s="213"/>
      <c r="AN32" s="213"/>
      <c r="AO32" s="213"/>
      <c r="AP32" s="213"/>
    </row>
    <row r="33" spans="1:42" ht="15.5" customHeight="1" x14ac:dyDescent="0.25">
      <c r="A33"/>
      <c r="B33" s="85" t="s">
        <v>136</v>
      </c>
      <c r="C33" s="31" t="s">
        <v>137</v>
      </c>
      <c r="D33" s="84">
        <f t="shared" ref="D33:T33" si="3">D30*D31*D32</f>
        <v>0</v>
      </c>
      <c r="E33" s="84">
        <f t="shared" si="3"/>
        <v>0</v>
      </c>
      <c r="F33" s="84">
        <f t="shared" si="3"/>
        <v>0</v>
      </c>
      <c r="G33" s="84">
        <f t="shared" si="3"/>
        <v>0</v>
      </c>
      <c r="H33" s="84">
        <f t="shared" si="3"/>
        <v>0</v>
      </c>
      <c r="I33" s="84">
        <f t="shared" si="3"/>
        <v>0</v>
      </c>
      <c r="J33" s="84">
        <f t="shared" si="3"/>
        <v>1250</v>
      </c>
      <c r="K33" s="84">
        <f t="shared" si="3"/>
        <v>1250</v>
      </c>
      <c r="L33" s="84">
        <f t="shared" si="3"/>
        <v>1250</v>
      </c>
      <c r="M33" s="84">
        <f t="shared" si="3"/>
        <v>1250</v>
      </c>
      <c r="N33" s="84">
        <f t="shared" si="3"/>
        <v>1250</v>
      </c>
      <c r="O33" s="84">
        <f t="shared" si="3"/>
        <v>2500</v>
      </c>
      <c r="P33" s="84">
        <f t="shared" si="3"/>
        <v>3750</v>
      </c>
      <c r="Q33" s="84">
        <f t="shared" si="3"/>
        <v>7500</v>
      </c>
      <c r="R33" s="84">
        <f t="shared" si="3"/>
        <v>10000</v>
      </c>
      <c r="S33" s="84">
        <f t="shared" si="3"/>
        <v>12500</v>
      </c>
      <c r="T33" s="84">
        <f t="shared" si="3"/>
        <v>25000</v>
      </c>
      <c r="U33" s="218"/>
      <c r="V33" s="218"/>
      <c r="W33" s="213"/>
      <c r="X33" s="213"/>
      <c r="Y33" s="213"/>
      <c r="Z33" s="213"/>
      <c r="AA33" s="213"/>
      <c r="AB33" s="213"/>
      <c r="AC33" s="213"/>
      <c r="AD33" s="213"/>
      <c r="AE33" s="213"/>
      <c r="AF33" s="213"/>
      <c r="AG33" s="213"/>
      <c r="AH33" s="213"/>
      <c r="AI33" s="213"/>
      <c r="AJ33" s="213"/>
      <c r="AK33" s="213"/>
      <c r="AL33" s="213"/>
      <c r="AM33" s="213"/>
      <c r="AN33" s="213"/>
      <c r="AO33" s="213"/>
      <c r="AP33" s="213"/>
    </row>
    <row r="34" spans="1:42" ht="15.5" customHeight="1" x14ac:dyDescent="0.25">
      <c r="A34"/>
      <c r="B34" s="72" t="s">
        <v>138</v>
      </c>
      <c r="C34" s="31" t="s">
        <v>15</v>
      </c>
      <c r="D34" s="75">
        <v>0</v>
      </c>
      <c r="E34" s="75">
        <v>0</v>
      </c>
      <c r="F34" s="75">
        <v>0</v>
      </c>
      <c r="G34" s="75">
        <v>0</v>
      </c>
      <c r="H34" s="86">
        <v>0</v>
      </c>
      <c r="I34" s="86">
        <v>0</v>
      </c>
      <c r="J34" s="86">
        <v>0</v>
      </c>
      <c r="K34" s="86">
        <v>0.05</v>
      </c>
      <c r="L34" s="86">
        <v>0.05</v>
      </c>
      <c r="M34" s="86">
        <v>7.4999999999999997E-2</v>
      </c>
      <c r="N34" s="86">
        <v>7.4999999999999997E-2</v>
      </c>
      <c r="O34" s="86">
        <v>7.5498999999999997E-2</v>
      </c>
      <c r="P34" s="86">
        <v>7.4999999999999997E-2</v>
      </c>
      <c r="Q34" s="86">
        <v>7.4999999999999997E-2</v>
      </c>
      <c r="R34" s="86">
        <v>7.4999999999999997E-2</v>
      </c>
      <c r="S34" s="86">
        <v>0.1</v>
      </c>
      <c r="T34" s="75">
        <v>0.1</v>
      </c>
      <c r="U34" s="218" t="s">
        <v>139</v>
      </c>
      <c r="V34" s="218"/>
      <c r="W34" s="213"/>
      <c r="X34" s="213"/>
      <c r="Y34" s="213"/>
      <c r="Z34" s="213"/>
      <c r="AA34" s="213"/>
      <c r="AB34" s="213"/>
      <c r="AC34" s="213"/>
      <c r="AD34" s="213"/>
      <c r="AE34" s="213"/>
      <c r="AF34" s="213"/>
      <c r="AG34" s="213"/>
      <c r="AH34" s="213"/>
      <c r="AI34" s="213"/>
      <c r="AJ34" s="213"/>
      <c r="AK34" s="213"/>
      <c r="AL34" s="213"/>
      <c r="AM34" s="213"/>
      <c r="AN34" s="213"/>
      <c r="AO34" s="213"/>
      <c r="AP34" s="213"/>
    </row>
    <row r="35" spans="1:42" ht="15.5" customHeight="1" x14ac:dyDescent="0.25">
      <c r="A35"/>
      <c r="B35" s="72" t="s">
        <v>126</v>
      </c>
      <c r="C35" s="31" t="s">
        <v>127</v>
      </c>
      <c r="D35" s="83">
        <v>0</v>
      </c>
      <c r="E35" s="83">
        <v>0</v>
      </c>
      <c r="F35" s="83">
        <v>0</v>
      </c>
      <c r="G35" s="83">
        <v>0</v>
      </c>
      <c r="H35" s="83">
        <v>0</v>
      </c>
      <c r="I35" s="83">
        <v>0</v>
      </c>
      <c r="J35" s="83">
        <v>3</v>
      </c>
      <c r="K35" s="83">
        <v>3</v>
      </c>
      <c r="L35" s="83">
        <v>3</v>
      </c>
      <c r="M35" s="83">
        <v>3</v>
      </c>
      <c r="N35" s="83">
        <v>3</v>
      </c>
      <c r="O35" s="83">
        <v>3</v>
      </c>
      <c r="P35" s="84">
        <f>$O$35</f>
        <v>3</v>
      </c>
      <c r="Q35" s="84">
        <f>$O$35</f>
        <v>3</v>
      </c>
      <c r="R35" s="84">
        <f>$O$35</f>
        <v>3</v>
      </c>
      <c r="S35" s="84">
        <f>$O$35</f>
        <v>3</v>
      </c>
      <c r="T35" s="84">
        <f>$O$35</f>
        <v>3</v>
      </c>
      <c r="U35" s="218" t="s">
        <v>128</v>
      </c>
      <c r="V35" s="218"/>
      <c r="W35" s="213"/>
      <c r="X35" s="213"/>
      <c r="Y35" s="213"/>
      <c r="Z35" s="213"/>
      <c r="AA35" s="213"/>
      <c r="AB35" s="213"/>
      <c r="AC35" s="213"/>
      <c r="AD35" s="213"/>
      <c r="AE35" s="213"/>
      <c r="AF35" s="213"/>
      <c r="AG35" s="213"/>
      <c r="AH35" s="213"/>
      <c r="AI35" s="213"/>
      <c r="AJ35" s="213"/>
      <c r="AK35" s="213"/>
      <c r="AL35" s="213"/>
      <c r="AM35" s="213"/>
      <c r="AN35" s="213"/>
      <c r="AO35" s="213"/>
      <c r="AP35" s="213"/>
    </row>
    <row r="36" spans="1:42" ht="15.5" customHeight="1" x14ac:dyDescent="0.25">
      <c r="A36"/>
      <c r="B36" s="72" t="s">
        <v>129</v>
      </c>
      <c r="C36" s="82" t="s">
        <v>33</v>
      </c>
      <c r="D36" s="84">
        <f t="shared" ref="D36:T36" si="4">PRODUCT(D33:D35)</f>
        <v>0</v>
      </c>
      <c r="E36" s="84">
        <f t="shared" si="4"/>
        <v>0</v>
      </c>
      <c r="F36" s="84">
        <f t="shared" si="4"/>
        <v>0</v>
      </c>
      <c r="G36" s="84">
        <f t="shared" si="4"/>
        <v>0</v>
      </c>
      <c r="H36" s="84">
        <f t="shared" si="4"/>
        <v>0</v>
      </c>
      <c r="I36" s="84">
        <f t="shared" si="4"/>
        <v>0</v>
      </c>
      <c r="J36" s="84">
        <f t="shared" si="4"/>
        <v>0</v>
      </c>
      <c r="K36" s="84">
        <f t="shared" si="4"/>
        <v>187.5</v>
      </c>
      <c r="L36" s="84">
        <f t="shared" si="4"/>
        <v>187.5</v>
      </c>
      <c r="M36" s="84">
        <f t="shared" si="4"/>
        <v>281.25</v>
      </c>
      <c r="N36" s="84">
        <f t="shared" si="4"/>
        <v>281.25</v>
      </c>
      <c r="O36" s="84">
        <f t="shared" si="4"/>
        <v>566.24250000000006</v>
      </c>
      <c r="P36" s="84">
        <f t="shared" si="4"/>
        <v>843.75</v>
      </c>
      <c r="Q36" s="84">
        <f t="shared" si="4"/>
        <v>1687.5</v>
      </c>
      <c r="R36" s="84">
        <f t="shared" si="4"/>
        <v>2250</v>
      </c>
      <c r="S36" s="84">
        <f t="shared" si="4"/>
        <v>3750</v>
      </c>
      <c r="T36" s="84">
        <f t="shared" si="4"/>
        <v>7500</v>
      </c>
      <c r="U36" s="218"/>
      <c r="V36" s="218"/>
      <c r="W36" s="213"/>
      <c r="X36" s="213"/>
      <c r="Y36" s="213"/>
      <c r="Z36" s="213"/>
      <c r="AA36" s="213"/>
      <c r="AB36" s="213"/>
      <c r="AC36" s="213"/>
      <c r="AD36" s="213"/>
      <c r="AE36" s="213"/>
      <c r="AF36" s="213"/>
      <c r="AG36" s="213"/>
      <c r="AH36" s="213"/>
      <c r="AI36" s="213"/>
      <c r="AJ36" s="213"/>
      <c r="AK36" s="213"/>
      <c r="AL36" s="213"/>
      <c r="AM36" s="213"/>
      <c r="AN36" s="213"/>
      <c r="AO36" s="213"/>
      <c r="AP36" s="213"/>
    </row>
    <row r="37" spans="1:42" ht="15.5" customHeight="1" x14ac:dyDescent="0.25">
      <c r="A37"/>
      <c r="B37" s="72"/>
      <c r="C37"/>
      <c r="D37"/>
      <c r="E37"/>
      <c r="F37"/>
      <c r="G37"/>
      <c r="H37"/>
      <c r="I37"/>
      <c r="J37"/>
      <c r="K37"/>
      <c r="L37"/>
      <c r="M37"/>
      <c r="N37"/>
      <c r="O37"/>
      <c r="P37"/>
      <c r="Q37"/>
      <c r="R37"/>
      <c r="S37"/>
      <c r="T37"/>
      <c r="U37" s="218"/>
      <c r="V37" s="218"/>
      <c r="W37" s="213"/>
      <c r="X37" s="213"/>
      <c r="Y37" s="213"/>
      <c r="Z37" s="213"/>
      <c r="AA37" s="213"/>
      <c r="AB37" s="213"/>
      <c r="AC37" s="213"/>
      <c r="AD37" s="213"/>
      <c r="AE37" s="213"/>
      <c r="AF37" s="213"/>
      <c r="AG37" s="213"/>
      <c r="AH37" s="213"/>
      <c r="AI37" s="213"/>
      <c r="AJ37" s="213"/>
      <c r="AK37" s="213"/>
      <c r="AL37" s="213"/>
      <c r="AM37" s="213"/>
      <c r="AN37" s="213"/>
      <c r="AO37" s="213"/>
      <c r="AP37" s="213"/>
    </row>
    <row r="38" spans="1:42" ht="15.5" customHeight="1" x14ac:dyDescent="0.25">
      <c r="A38"/>
      <c r="B38" s="87" t="s">
        <v>140</v>
      </c>
      <c r="C38"/>
      <c r="D38" s="79" t="s">
        <v>16</v>
      </c>
      <c r="E38" s="79" t="s">
        <v>17</v>
      </c>
      <c r="F38" s="79" t="s">
        <v>18</v>
      </c>
      <c r="G38" s="79" t="s">
        <v>19</v>
      </c>
      <c r="H38" s="79" t="s">
        <v>20</v>
      </c>
      <c r="I38" s="79" t="s">
        <v>21</v>
      </c>
      <c r="J38" s="79" t="s">
        <v>22</v>
      </c>
      <c r="K38" s="79" t="s">
        <v>23</v>
      </c>
      <c r="L38" s="79" t="s">
        <v>24</v>
      </c>
      <c r="M38" s="79" t="s">
        <v>25</v>
      </c>
      <c r="N38" s="79" t="s">
        <v>26</v>
      </c>
      <c r="O38" s="79" t="s">
        <v>27</v>
      </c>
      <c r="P38" s="79" t="s">
        <v>28</v>
      </c>
      <c r="Q38" s="79" t="s">
        <v>29</v>
      </c>
      <c r="R38" s="79" t="s">
        <v>30</v>
      </c>
      <c r="S38" s="79" t="s">
        <v>31</v>
      </c>
      <c r="T38" s="88" t="s">
        <v>32</v>
      </c>
      <c r="U38" s="218"/>
      <c r="V38" s="218"/>
      <c r="W38" s="213"/>
      <c r="X38" s="213"/>
      <c r="Y38" s="213"/>
      <c r="Z38" s="213"/>
      <c r="AA38" s="213"/>
      <c r="AB38" s="213"/>
      <c r="AC38" s="213"/>
      <c r="AD38" s="213"/>
      <c r="AE38" s="213"/>
      <c r="AF38" s="213"/>
      <c r="AG38" s="213"/>
      <c r="AH38" s="213"/>
      <c r="AI38" s="213"/>
      <c r="AJ38" s="213"/>
      <c r="AK38" s="213"/>
      <c r="AL38" s="213"/>
      <c r="AM38" s="213"/>
      <c r="AN38" s="213"/>
      <c r="AO38" s="213"/>
      <c r="AP38" s="213"/>
    </row>
    <row r="39" spans="1:42" ht="15.5" customHeight="1" x14ac:dyDescent="0.25">
      <c r="A39"/>
      <c r="B39" s="72" t="s">
        <v>141</v>
      </c>
      <c r="C39" s="31" t="s">
        <v>142</v>
      </c>
      <c r="D39" s="84">
        <f t="shared" ref="D39:T39" si="5">D22*D24+D30*D31*D32</f>
        <v>112500</v>
      </c>
      <c r="E39" s="84">
        <f t="shared" si="5"/>
        <v>112500</v>
      </c>
      <c r="F39" s="84">
        <f t="shared" si="5"/>
        <v>112500</v>
      </c>
      <c r="G39" s="84">
        <f t="shared" si="5"/>
        <v>112500</v>
      </c>
      <c r="H39" s="84">
        <f t="shared" si="5"/>
        <v>112500</v>
      </c>
      <c r="I39" s="84">
        <f t="shared" si="5"/>
        <v>112500</v>
      </c>
      <c r="J39" s="84">
        <f t="shared" si="5"/>
        <v>113750</v>
      </c>
      <c r="K39" s="84">
        <f t="shared" si="5"/>
        <v>113750</v>
      </c>
      <c r="L39" s="84">
        <f t="shared" si="5"/>
        <v>113750</v>
      </c>
      <c r="M39" s="84">
        <f t="shared" si="5"/>
        <v>113750</v>
      </c>
      <c r="N39" s="84">
        <f t="shared" si="5"/>
        <v>113750</v>
      </c>
      <c r="O39" s="84">
        <f t="shared" si="5"/>
        <v>115000</v>
      </c>
      <c r="P39" s="84">
        <f t="shared" si="5"/>
        <v>117750</v>
      </c>
      <c r="Q39" s="84">
        <f t="shared" si="5"/>
        <v>123000</v>
      </c>
      <c r="R39" s="84">
        <f t="shared" si="5"/>
        <v>127000</v>
      </c>
      <c r="S39" s="84">
        <f t="shared" si="5"/>
        <v>132500</v>
      </c>
      <c r="T39" s="84">
        <f t="shared" si="5"/>
        <v>152500</v>
      </c>
      <c r="U39" s="218" t="s">
        <v>143</v>
      </c>
      <c r="W39" s="213"/>
      <c r="X39" s="213"/>
      <c r="Y39" s="213"/>
      <c r="Z39" s="213"/>
      <c r="AA39" s="213"/>
      <c r="AB39" s="213"/>
      <c r="AC39" s="213"/>
      <c r="AD39" s="213"/>
      <c r="AE39" s="213"/>
      <c r="AF39" s="213"/>
      <c r="AG39" s="213"/>
      <c r="AH39" s="213"/>
      <c r="AI39" s="213"/>
      <c r="AJ39" s="213"/>
      <c r="AK39" s="213"/>
      <c r="AL39" s="213"/>
      <c r="AM39" s="213"/>
      <c r="AN39" s="213"/>
      <c r="AO39" s="213"/>
      <c r="AP39" s="213"/>
    </row>
    <row r="40" spans="1:42" ht="15.5" customHeight="1" x14ac:dyDescent="0.25">
      <c r="A40"/>
      <c r="B40" s="72" t="s">
        <v>144</v>
      </c>
      <c r="C40" s="31" t="s">
        <v>145</v>
      </c>
      <c r="D40" s="83">
        <v>1</v>
      </c>
      <c r="E40" s="83">
        <v>1</v>
      </c>
      <c r="F40" s="83">
        <v>1</v>
      </c>
      <c r="G40" s="83">
        <v>1</v>
      </c>
      <c r="H40" s="83">
        <v>1</v>
      </c>
      <c r="I40" s="83">
        <v>1</v>
      </c>
      <c r="J40" s="83">
        <v>1</v>
      </c>
      <c r="K40" s="83">
        <v>1</v>
      </c>
      <c r="L40" s="83">
        <v>1</v>
      </c>
      <c r="M40" s="83">
        <v>1</v>
      </c>
      <c r="N40" s="83">
        <v>1</v>
      </c>
      <c r="O40" s="83">
        <v>1</v>
      </c>
      <c r="P40" s="83">
        <v>2</v>
      </c>
      <c r="Q40" s="83">
        <v>2</v>
      </c>
      <c r="R40" s="83">
        <v>2</v>
      </c>
      <c r="S40" s="83">
        <v>2</v>
      </c>
      <c r="T40" s="83">
        <v>3</v>
      </c>
      <c r="U40" s="218"/>
      <c r="V40" s="218"/>
      <c r="W40" s="213"/>
      <c r="X40" s="213"/>
      <c r="Y40" s="213"/>
      <c r="Z40" s="213"/>
      <c r="AA40" s="213"/>
      <c r="AB40" s="213"/>
      <c r="AC40" s="213"/>
      <c r="AD40" s="213"/>
      <c r="AE40" s="213"/>
      <c r="AF40" s="213"/>
      <c r="AG40" s="213"/>
      <c r="AH40" s="213"/>
      <c r="AI40" s="213"/>
      <c r="AJ40" s="213"/>
      <c r="AK40" s="213"/>
      <c r="AL40" s="213"/>
      <c r="AM40" s="213"/>
      <c r="AN40" s="213"/>
      <c r="AO40" s="213"/>
      <c r="AP40" s="213"/>
    </row>
    <row r="41" spans="1:42" ht="15.5" customHeight="1" x14ac:dyDescent="0.25">
      <c r="A41"/>
      <c r="B41" s="72" t="s">
        <v>146</v>
      </c>
      <c r="C41" s="31" t="s">
        <v>142</v>
      </c>
      <c r="D41" s="84">
        <f t="shared" ref="D41:T41" si="6">D39*D40</f>
        <v>112500</v>
      </c>
      <c r="E41" s="84">
        <f t="shared" si="6"/>
        <v>112500</v>
      </c>
      <c r="F41" s="84">
        <f t="shared" si="6"/>
        <v>112500</v>
      </c>
      <c r="G41" s="84">
        <f t="shared" si="6"/>
        <v>112500</v>
      </c>
      <c r="H41" s="84">
        <f t="shared" si="6"/>
        <v>112500</v>
      </c>
      <c r="I41" s="84">
        <f t="shared" si="6"/>
        <v>112500</v>
      </c>
      <c r="J41" s="84">
        <f t="shared" si="6"/>
        <v>113750</v>
      </c>
      <c r="K41" s="84">
        <f t="shared" si="6"/>
        <v>113750</v>
      </c>
      <c r="L41" s="84">
        <f t="shared" si="6"/>
        <v>113750</v>
      </c>
      <c r="M41" s="84">
        <f t="shared" si="6"/>
        <v>113750</v>
      </c>
      <c r="N41" s="84">
        <f t="shared" si="6"/>
        <v>113750</v>
      </c>
      <c r="O41" s="84">
        <f t="shared" si="6"/>
        <v>115000</v>
      </c>
      <c r="P41" s="84">
        <f t="shared" si="6"/>
        <v>235500</v>
      </c>
      <c r="Q41" s="84">
        <f t="shared" si="6"/>
        <v>246000</v>
      </c>
      <c r="R41" s="84">
        <f t="shared" si="6"/>
        <v>254000</v>
      </c>
      <c r="S41" s="84">
        <f t="shared" si="6"/>
        <v>265000</v>
      </c>
      <c r="T41" s="84">
        <f t="shared" si="6"/>
        <v>457500</v>
      </c>
      <c r="U41" s="218"/>
      <c r="V41" s="218"/>
      <c r="W41" s="213"/>
      <c r="X41" s="213"/>
      <c r="Y41" s="213"/>
      <c r="Z41" s="213"/>
      <c r="AA41" s="213"/>
      <c r="AB41" s="213"/>
      <c r="AC41" s="213"/>
      <c r="AD41" s="213"/>
      <c r="AE41" s="213"/>
      <c r="AF41" s="213"/>
      <c r="AG41" s="213"/>
      <c r="AH41" s="213"/>
      <c r="AI41" s="213"/>
      <c r="AJ41" s="213"/>
      <c r="AK41" s="213"/>
      <c r="AL41" s="213"/>
      <c r="AM41" s="213"/>
      <c r="AN41" s="213"/>
      <c r="AO41" s="213"/>
      <c r="AP41" s="213"/>
    </row>
    <row r="42" spans="1:42" ht="15.5" customHeight="1" x14ac:dyDescent="0.25">
      <c r="A42"/>
      <c r="B42" s="72" t="s">
        <v>147</v>
      </c>
      <c r="C42" s="31" t="s">
        <v>15</v>
      </c>
      <c r="D42" s="86">
        <v>0</v>
      </c>
      <c r="E42" s="86">
        <v>0</v>
      </c>
      <c r="F42" s="86">
        <v>0</v>
      </c>
      <c r="G42" s="86">
        <v>0</v>
      </c>
      <c r="H42" s="86">
        <v>0</v>
      </c>
      <c r="I42" s="86">
        <v>0</v>
      </c>
      <c r="J42" s="86">
        <v>0</v>
      </c>
      <c r="K42" s="86">
        <v>0</v>
      </c>
      <c r="L42" s="86">
        <v>0</v>
      </c>
      <c r="M42" s="86">
        <v>0</v>
      </c>
      <c r="N42" s="86">
        <v>0</v>
      </c>
      <c r="O42" s="86">
        <v>0.05</v>
      </c>
      <c r="P42" s="86">
        <v>7.4999999999999997E-2</v>
      </c>
      <c r="Q42" s="86">
        <v>0.1</v>
      </c>
      <c r="R42" s="86">
        <v>0.125</v>
      </c>
      <c r="S42" s="86">
        <v>0.15</v>
      </c>
      <c r="T42" s="86">
        <v>0.18</v>
      </c>
      <c r="U42" s="218"/>
      <c r="V42" s="218"/>
      <c r="W42" s="213"/>
      <c r="X42" s="213"/>
      <c r="Y42" s="213"/>
      <c r="Z42" s="213"/>
      <c r="AA42" s="213"/>
      <c r="AB42" s="213"/>
      <c r="AC42" s="213"/>
      <c r="AD42" s="213"/>
      <c r="AE42" s="213"/>
      <c r="AF42" s="213"/>
      <c r="AG42" s="213"/>
      <c r="AH42" s="213"/>
      <c r="AI42" s="213"/>
      <c r="AJ42" s="213"/>
      <c r="AK42" s="213"/>
      <c r="AL42" s="213"/>
      <c r="AM42" s="213"/>
      <c r="AN42" s="213"/>
      <c r="AO42" s="213"/>
      <c r="AP42" s="213"/>
    </row>
    <row r="43" spans="1:42" ht="15.5" customHeight="1" x14ac:dyDescent="0.25">
      <c r="A43"/>
      <c r="B43" s="72" t="s">
        <v>148</v>
      </c>
      <c r="C43" s="31" t="s">
        <v>149</v>
      </c>
      <c r="D43" s="84">
        <f t="shared" ref="D43:T43" si="7">D41*D42</f>
        <v>0</v>
      </c>
      <c r="E43" s="84">
        <f t="shared" si="7"/>
        <v>0</v>
      </c>
      <c r="F43" s="84">
        <f t="shared" si="7"/>
        <v>0</v>
      </c>
      <c r="G43" s="84">
        <f t="shared" si="7"/>
        <v>0</v>
      </c>
      <c r="H43" s="84">
        <f t="shared" si="7"/>
        <v>0</v>
      </c>
      <c r="I43" s="84">
        <f t="shared" si="7"/>
        <v>0</v>
      </c>
      <c r="J43" s="84">
        <f t="shared" si="7"/>
        <v>0</v>
      </c>
      <c r="K43" s="84">
        <f t="shared" si="7"/>
        <v>0</v>
      </c>
      <c r="L43" s="84">
        <f t="shared" si="7"/>
        <v>0</v>
      </c>
      <c r="M43" s="84">
        <f t="shared" si="7"/>
        <v>0</v>
      </c>
      <c r="N43" s="84">
        <f t="shared" si="7"/>
        <v>0</v>
      </c>
      <c r="O43" s="84">
        <f t="shared" si="7"/>
        <v>5750</v>
      </c>
      <c r="P43" s="84">
        <f t="shared" si="7"/>
        <v>17662.5</v>
      </c>
      <c r="Q43" s="84">
        <f t="shared" si="7"/>
        <v>24600</v>
      </c>
      <c r="R43" s="84">
        <f t="shared" si="7"/>
        <v>31750</v>
      </c>
      <c r="S43" s="84">
        <f t="shared" si="7"/>
        <v>39750</v>
      </c>
      <c r="T43" s="84">
        <f t="shared" si="7"/>
        <v>82350</v>
      </c>
      <c r="U43" s="218"/>
      <c r="V43" s="218"/>
      <c r="W43" s="213"/>
      <c r="X43" s="213"/>
      <c r="Y43" s="213"/>
      <c r="Z43" s="213"/>
      <c r="AA43" s="213"/>
      <c r="AB43" s="213"/>
      <c r="AC43" s="213"/>
      <c r="AD43" s="213"/>
      <c r="AE43" s="213"/>
      <c r="AF43" s="213"/>
      <c r="AG43" s="213"/>
      <c r="AH43" s="213"/>
      <c r="AI43" s="213"/>
      <c r="AJ43" s="213"/>
      <c r="AK43" s="213"/>
      <c r="AL43" s="213"/>
      <c r="AM43" s="213"/>
      <c r="AN43" s="213"/>
      <c r="AO43" s="213"/>
      <c r="AP43" s="213"/>
    </row>
    <row r="44" spans="1:42" ht="15.5" customHeight="1" x14ac:dyDescent="0.25">
      <c r="A44"/>
      <c r="B44" s="72" t="s">
        <v>150</v>
      </c>
      <c r="C44" s="31" t="s">
        <v>33</v>
      </c>
      <c r="D44" s="83">
        <v>25</v>
      </c>
      <c r="E44" s="83">
        <v>25</v>
      </c>
      <c r="F44" s="83">
        <v>25</v>
      </c>
      <c r="G44" s="83">
        <v>25</v>
      </c>
      <c r="H44" s="83">
        <v>25</v>
      </c>
      <c r="I44" s="83">
        <v>25</v>
      </c>
      <c r="J44" s="83">
        <v>25</v>
      </c>
      <c r="K44" s="83">
        <v>25</v>
      </c>
      <c r="L44" s="83">
        <v>25</v>
      </c>
      <c r="M44" s="83">
        <v>25</v>
      </c>
      <c r="N44" s="83">
        <v>25</v>
      </c>
      <c r="O44" s="83">
        <v>25</v>
      </c>
      <c r="P44" s="84">
        <f>$O$44</f>
        <v>25</v>
      </c>
      <c r="Q44" s="84">
        <f>$O$44</f>
        <v>25</v>
      </c>
      <c r="R44" s="84">
        <f>$O$44</f>
        <v>25</v>
      </c>
      <c r="S44" s="84">
        <f>$O$44</f>
        <v>25</v>
      </c>
      <c r="T44" s="84">
        <f>$O$44</f>
        <v>25</v>
      </c>
      <c r="U44" s="218"/>
      <c r="V44" s="218"/>
      <c r="W44" s="213"/>
      <c r="X44" s="213"/>
      <c r="Y44" s="213"/>
      <c r="Z44" s="213"/>
      <c r="AA44" s="213"/>
      <c r="AB44" s="213"/>
      <c r="AC44" s="213"/>
      <c r="AD44" s="213"/>
      <c r="AE44" s="213"/>
      <c r="AF44" s="213"/>
      <c r="AG44" s="213"/>
      <c r="AH44" s="213"/>
      <c r="AI44" s="213"/>
      <c r="AJ44" s="213"/>
      <c r="AK44" s="213"/>
      <c r="AL44" s="213"/>
      <c r="AM44" s="213"/>
      <c r="AN44" s="213"/>
      <c r="AO44" s="213"/>
      <c r="AP44" s="213"/>
    </row>
    <row r="45" spans="1:42" ht="15.5" customHeight="1" x14ac:dyDescent="0.25">
      <c r="A45"/>
      <c r="B45" s="72" t="s">
        <v>151</v>
      </c>
      <c r="C45" s="31" t="s">
        <v>15</v>
      </c>
      <c r="D45" s="75">
        <v>0</v>
      </c>
      <c r="E45" s="75">
        <v>0</v>
      </c>
      <c r="F45" s="75">
        <v>0</v>
      </c>
      <c r="G45" s="75">
        <v>0</v>
      </c>
      <c r="H45" s="75">
        <v>0</v>
      </c>
      <c r="I45" s="75">
        <v>0</v>
      </c>
      <c r="J45" s="75">
        <v>0</v>
      </c>
      <c r="K45" s="75">
        <v>0</v>
      </c>
      <c r="L45" s="75">
        <v>0</v>
      </c>
      <c r="M45" s="75">
        <v>0.1</v>
      </c>
      <c r="N45" s="75">
        <v>0.2</v>
      </c>
      <c r="O45" s="75">
        <v>0.3</v>
      </c>
      <c r="P45" s="75">
        <v>0.4</v>
      </c>
      <c r="Q45" s="75">
        <v>0.5</v>
      </c>
      <c r="R45" s="75">
        <v>0.5</v>
      </c>
      <c r="S45" s="75">
        <v>0.5</v>
      </c>
      <c r="T45" s="75">
        <v>0.5</v>
      </c>
      <c r="U45" s="218" t="s">
        <v>152</v>
      </c>
      <c r="V45" s="218"/>
      <c r="W45" s="213"/>
      <c r="X45" s="213"/>
      <c r="Y45" s="213"/>
      <c r="Z45" s="213"/>
      <c r="AA45" s="213"/>
      <c r="AB45" s="213"/>
      <c r="AC45" s="213"/>
      <c r="AD45" s="213"/>
      <c r="AE45" s="213"/>
      <c r="AF45" s="213"/>
      <c r="AG45" s="213"/>
      <c r="AH45" s="213"/>
      <c r="AI45" s="213"/>
      <c r="AJ45" s="213"/>
      <c r="AK45" s="213"/>
      <c r="AL45" s="213"/>
      <c r="AM45" s="213"/>
      <c r="AN45" s="213"/>
      <c r="AO45" s="213"/>
      <c r="AP45" s="213"/>
    </row>
    <row r="46" spans="1:42" ht="15.5" customHeight="1" x14ac:dyDescent="0.25">
      <c r="A46"/>
      <c r="B46" s="72" t="s">
        <v>153</v>
      </c>
      <c r="C46" s="31" t="s">
        <v>15</v>
      </c>
      <c r="D46" s="75">
        <v>0.03</v>
      </c>
      <c r="E46" s="75">
        <v>0.03</v>
      </c>
      <c r="F46" s="75">
        <v>0.03</v>
      </c>
      <c r="G46" s="75">
        <v>0.03</v>
      </c>
      <c r="H46" s="75">
        <v>0.03</v>
      </c>
      <c r="I46" s="75">
        <v>0.03</v>
      </c>
      <c r="J46" s="75">
        <v>0.03</v>
      </c>
      <c r="K46" s="75">
        <v>0.03</v>
      </c>
      <c r="L46" s="75">
        <v>0.03</v>
      </c>
      <c r="M46" s="75">
        <v>0.03</v>
      </c>
      <c r="N46" s="75">
        <v>0.03</v>
      </c>
      <c r="O46" s="75">
        <v>0.03</v>
      </c>
      <c r="P46" s="75">
        <v>0.03</v>
      </c>
      <c r="Q46" s="75">
        <v>0.03</v>
      </c>
      <c r="R46" s="75">
        <v>0.03</v>
      </c>
      <c r="S46" s="75">
        <v>0.03</v>
      </c>
      <c r="T46" s="75">
        <v>0.03</v>
      </c>
      <c r="U46" s="218" t="s">
        <v>154</v>
      </c>
      <c r="V46" s="218"/>
      <c r="W46" s="213"/>
      <c r="X46" s="213"/>
      <c r="Y46" s="213"/>
      <c r="Z46" s="213"/>
      <c r="AA46" s="213"/>
      <c r="AB46" s="213"/>
      <c r="AC46" s="213"/>
      <c r="AD46" s="213"/>
      <c r="AE46" s="213"/>
      <c r="AF46" s="213"/>
      <c r="AG46" s="213"/>
      <c r="AH46" s="213"/>
      <c r="AI46" s="213"/>
      <c r="AJ46" s="213"/>
      <c r="AK46" s="213"/>
      <c r="AL46" s="213"/>
      <c r="AM46" s="213"/>
      <c r="AN46" s="213"/>
      <c r="AO46" s="213"/>
      <c r="AP46" s="213"/>
    </row>
    <row r="47" spans="1:42" ht="15.5" customHeight="1" x14ac:dyDescent="0.25">
      <c r="A47"/>
      <c r="B47" s="72" t="s">
        <v>155</v>
      </c>
      <c r="C47" s="31" t="s">
        <v>33</v>
      </c>
      <c r="D47" s="84">
        <f t="shared" ref="D47:T47" si="8">D43*D44*D45*D46</f>
        <v>0</v>
      </c>
      <c r="E47" s="84">
        <f t="shared" si="8"/>
        <v>0</v>
      </c>
      <c r="F47" s="84">
        <f t="shared" si="8"/>
        <v>0</v>
      </c>
      <c r="G47" s="84">
        <f t="shared" si="8"/>
        <v>0</v>
      </c>
      <c r="H47" s="84">
        <f t="shared" si="8"/>
        <v>0</v>
      </c>
      <c r="I47" s="84">
        <f t="shared" si="8"/>
        <v>0</v>
      </c>
      <c r="J47" s="84">
        <f t="shared" si="8"/>
        <v>0</v>
      </c>
      <c r="K47" s="84">
        <f t="shared" si="8"/>
        <v>0</v>
      </c>
      <c r="L47" s="84">
        <f t="shared" si="8"/>
        <v>0</v>
      </c>
      <c r="M47" s="84">
        <f t="shared" si="8"/>
        <v>0</v>
      </c>
      <c r="N47" s="84">
        <f t="shared" si="8"/>
        <v>0</v>
      </c>
      <c r="O47" s="84">
        <f t="shared" si="8"/>
        <v>1293.75</v>
      </c>
      <c r="P47" s="84">
        <f t="shared" si="8"/>
        <v>5298.75</v>
      </c>
      <c r="Q47" s="84">
        <f t="shared" si="8"/>
        <v>9225</v>
      </c>
      <c r="R47" s="84">
        <f t="shared" si="8"/>
        <v>11906.25</v>
      </c>
      <c r="S47" s="84">
        <f t="shared" si="8"/>
        <v>14906.25</v>
      </c>
      <c r="T47" s="84">
        <f t="shared" si="8"/>
        <v>30881.25</v>
      </c>
      <c r="U47" s="218"/>
      <c r="V47" s="218"/>
      <c r="W47" s="213"/>
      <c r="X47" s="213"/>
      <c r="Y47" s="213"/>
      <c r="Z47" s="213"/>
      <c r="AA47" s="213"/>
      <c r="AB47" s="213"/>
      <c r="AC47" s="213"/>
      <c r="AD47" s="213"/>
      <c r="AE47" s="213"/>
      <c r="AF47" s="213"/>
      <c r="AG47" s="213"/>
      <c r="AH47" s="213"/>
      <c r="AI47" s="213"/>
      <c r="AJ47" s="213"/>
      <c r="AK47" s="213"/>
      <c r="AL47" s="213"/>
      <c r="AM47" s="213"/>
      <c r="AN47" s="213"/>
      <c r="AO47" s="213"/>
      <c r="AP47" s="213"/>
    </row>
    <row r="48" spans="1:42" ht="15.5" customHeight="1" x14ac:dyDescent="0.25">
      <c r="A48"/>
      <c r="B48" s="1"/>
      <c r="C48" s="31"/>
      <c r="D48"/>
      <c r="E48"/>
      <c r="F48"/>
      <c r="G48"/>
      <c r="H48"/>
      <c r="I48"/>
      <c r="J48"/>
      <c r="K48"/>
      <c r="L48"/>
      <c r="M48"/>
      <c r="N48"/>
      <c r="O48"/>
      <c r="P48"/>
      <c r="Q48"/>
      <c r="R48"/>
      <c r="S48"/>
      <c r="T48"/>
      <c r="U48" s="218"/>
      <c r="V48" s="218"/>
      <c r="W48" s="213"/>
      <c r="X48" s="213"/>
      <c r="Y48" s="213"/>
      <c r="Z48" s="213"/>
      <c r="AA48" s="213"/>
      <c r="AB48" s="213"/>
      <c r="AC48" s="213"/>
      <c r="AD48" s="213"/>
      <c r="AE48" s="213"/>
      <c r="AF48" s="213"/>
      <c r="AG48" s="213"/>
      <c r="AH48" s="213"/>
      <c r="AI48" s="213"/>
      <c r="AJ48" s="213"/>
      <c r="AK48" s="213"/>
      <c r="AL48" s="213"/>
      <c r="AM48" s="213"/>
      <c r="AN48" s="213"/>
      <c r="AO48" s="213"/>
      <c r="AP48" s="213"/>
    </row>
    <row r="49" spans="1:42" ht="15.5" customHeight="1" x14ac:dyDescent="0.25">
      <c r="A49" s="22"/>
      <c r="B49" s="71" t="s">
        <v>156</v>
      </c>
      <c r="C49" s="60"/>
      <c r="D49" s="61"/>
      <c r="E49" s="61"/>
      <c r="F49" s="61"/>
      <c r="G49" s="61"/>
      <c r="H49" s="61"/>
      <c r="I49" s="61"/>
      <c r="J49" s="61"/>
      <c r="K49" s="61"/>
      <c r="L49" s="61"/>
      <c r="M49" s="61"/>
      <c r="N49" s="61"/>
      <c r="O49" s="61"/>
      <c r="P49" s="61"/>
      <c r="Q49" s="61"/>
      <c r="R49" s="61"/>
      <c r="S49" s="61"/>
      <c r="T49" s="61"/>
      <c r="U49" s="218"/>
      <c r="V49" s="218"/>
      <c r="W49" s="213"/>
      <c r="X49" s="213"/>
      <c r="Y49" s="213"/>
      <c r="Z49" s="213"/>
      <c r="AA49" s="213"/>
      <c r="AB49" s="213"/>
      <c r="AC49" s="213"/>
      <c r="AD49" s="213"/>
      <c r="AE49" s="213"/>
      <c r="AF49" s="213"/>
      <c r="AG49" s="213"/>
      <c r="AH49" s="213"/>
      <c r="AI49" s="213"/>
      <c r="AJ49" s="213"/>
      <c r="AK49" s="213"/>
      <c r="AL49" s="213"/>
      <c r="AM49" s="213"/>
      <c r="AN49" s="213"/>
      <c r="AO49" s="213"/>
      <c r="AP49" s="213"/>
    </row>
    <row r="50" spans="1:42" ht="15.5" customHeight="1" x14ac:dyDescent="0.25">
      <c r="A50"/>
      <c r="B50" s="1"/>
      <c r="C50" s="31"/>
      <c r="D50"/>
      <c r="E50"/>
      <c r="F50"/>
      <c r="G50"/>
      <c r="H50"/>
      <c r="I50"/>
      <c r="J50"/>
      <c r="K50"/>
      <c r="L50"/>
      <c r="M50"/>
      <c r="N50"/>
      <c r="O50"/>
      <c r="P50"/>
      <c r="Q50"/>
      <c r="R50"/>
      <c r="S50"/>
      <c r="T50"/>
      <c r="U50" s="218"/>
      <c r="V50" s="218"/>
      <c r="W50" s="213"/>
      <c r="X50" s="213"/>
      <c r="Y50" s="213"/>
      <c r="Z50" s="213"/>
      <c r="AA50" s="213"/>
      <c r="AB50" s="213"/>
      <c r="AC50" s="213"/>
      <c r="AD50" s="213"/>
      <c r="AE50" s="213"/>
      <c r="AF50" s="213"/>
      <c r="AG50" s="213"/>
      <c r="AH50" s="213"/>
      <c r="AI50" s="213"/>
      <c r="AJ50" s="213"/>
      <c r="AK50" s="213"/>
      <c r="AL50" s="213"/>
      <c r="AM50" s="213"/>
      <c r="AN50" s="213"/>
      <c r="AO50" s="213"/>
      <c r="AP50" s="213"/>
    </row>
    <row r="51" spans="1:42" ht="15.5" customHeight="1" x14ac:dyDescent="0.25">
      <c r="A51"/>
      <c r="B51" s="78" t="s">
        <v>114</v>
      </c>
      <c r="C51" s="31"/>
      <c r="D51" s="79"/>
      <c r="E51" s="79"/>
      <c r="F51" s="79"/>
      <c r="G51" s="79"/>
      <c r="H51" s="79"/>
      <c r="I51" s="79"/>
      <c r="J51" s="79"/>
      <c r="K51" s="79"/>
      <c r="L51" s="79"/>
      <c r="M51" s="79"/>
      <c r="N51" s="79"/>
      <c r="O51" s="79"/>
      <c r="P51" s="79"/>
      <c r="Q51" s="79"/>
      <c r="R51" s="79"/>
      <c r="S51" s="79"/>
      <c r="T51" s="79"/>
      <c r="U51" s="218"/>
      <c r="V51" s="218"/>
      <c r="W51" s="213"/>
      <c r="X51" s="213"/>
      <c r="Y51" s="213"/>
      <c r="Z51" s="213"/>
      <c r="AA51" s="213"/>
      <c r="AB51" s="213"/>
      <c r="AC51" s="213"/>
      <c r="AD51" s="213"/>
      <c r="AE51" s="213"/>
      <c r="AF51" s="213"/>
      <c r="AG51" s="213"/>
      <c r="AH51" s="213"/>
      <c r="AI51" s="213"/>
      <c r="AJ51" s="213"/>
      <c r="AK51" s="213"/>
      <c r="AL51" s="213"/>
      <c r="AM51" s="213"/>
      <c r="AN51" s="213"/>
      <c r="AO51" s="213"/>
      <c r="AP51" s="213"/>
    </row>
    <row r="52" spans="1:42" ht="15.5" customHeight="1" x14ac:dyDescent="0.25">
      <c r="A52"/>
      <c r="B52" s="80" t="s">
        <v>115</v>
      </c>
      <c r="C52" s="31"/>
      <c r="D52" s="79" t="s">
        <v>16</v>
      </c>
      <c r="E52" s="79" t="s">
        <v>17</v>
      </c>
      <c r="F52" s="79" t="s">
        <v>18</v>
      </c>
      <c r="G52" s="79" t="s">
        <v>19</v>
      </c>
      <c r="H52" s="79" t="s">
        <v>20</v>
      </c>
      <c r="I52" s="79" t="s">
        <v>21</v>
      </c>
      <c r="J52" s="88" t="s">
        <v>22</v>
      </c>
      <c r="K52" s="79" t="s">
        <v>23</v>
      </c>
      <c r="L52" s="79" t="s">
        <v>24</v>
      </c>
      <c r="M52" s="79" t="s">
        <v>25</v>
      </c>
      <c r="N52" s="79" t="s">
        <v>26</v>
      </c>
      <c r="O52" s="79" t="s">
        <v>27</v>
      </c>
      <c r="P52" s="79" t="s">
        <v>28</v>
      </c>
      <c r="Q52" s="79" t="s">
        <v>29</v>
      </c>
      <c r="R52" s="79" t="s">
        <v>30</v>
      </c>
      <c r="S52" s="79" t="s">
        <v>31</v>
      </c>
      <c r="T52" s="79" t="s">
        <v>32</v>
      </c>
      <c r="U52" s="218"/>
      <c r="V52" s="218"/>
      <c r="W52" s="213"/>
      <c r="X52" s="213"/>
      <c r="Y52" s="213"/>
      <c r="Z52" s="213"/>
      <c r="AA52" s="213"/>
      <c r="AB52" s="213"/>
      <c r="AC52" s="213"/>
      <c r="AD52" s="213"/>
      <c r="AE52" s="213"/>
      <c r="AF52" s="213"/>
      <c r="AG52" s="213"/>
      <c r="AH52" s="213"/>
      <c r="AI52" s="213"/>
      <c r="AJ52" s="213"/>
      <c r="AK52" s="213"/>
      <c r="AL52" s="213"/>
      <c r="AM52" s="213"/>
      <c r="AN52" s="213"/>
      <c r="AO52" s="213"/>
      <c r="AP52" s="213"/>
    </row>
    <row r="53" spans="1:42" ht="15.5" customHeight="1" x14ac:dyDescent="0.25">
      <c r="A53"/>
      <c r="B53" s="72" t="s">
        <v>116</v>
      </c>
      <c r="C53" s="31" t="s">
        <v>15</v>
      </c>
      <c r="D53" s="86">
        <v>0</v>
      </c>
      <c r="E53" s="86">
        <v>0</v>
      </c>
      <c r="F53" s="86">
        <v>0</v>
      </c>
      <c r="G53" s="86">
        <v>0</v>
      </c>
      <c r="H53" s="86">
        <v>0</v>
      </c>
      <c r="I53" s="86">
        <v>0</v>
      </c>
      <c r="J53" s="86">
        <v>0</v>
      </c>
      <c r="K53" s="86">
        <v>0</v>
      </c>
      <c r="L53" s="86">
        <v>0</v>
      </c>
      <c r="M53" s="86">
        <v>0</v>
      </c>
      <c r="N53" s="86">
        <v>0</v>
      </c>
      <c r="O53" s="86">
        <v>0</v>
      </c>
      <c r="P53" s="86">
        <v>0</v>
      </c>
      <c r="Q53" s="86">
        <v>0.05</v>
      </c>
      <c r="R53" s="86">
        <v>0.05</v>
      </c>
      <c r="S53" s="86">
        <v>0.05</v>
      </c>
      <c r="T53" s="86">
        <v>0.1</v>
      </c>
      <c r="U53" s="218" t="s">
        <v>157</v>
      </c>
      <c r="V53" s="218"/>
      <c r="W53" s="213"/>
      <c r="X53" s="213"/>
      <c r="Y53" s="213"/>
      <c r="Z53" s="213"/>
      <c r="AA53" s="213"/>
      <c r="AB53" s="213"/>
      <c r="AC53" s="213"/>
      <c r="AD53" s="213"/>
      <c r="AE53" s="213"/>
      <c r="AF53" s="213"/>
      <c r="AG53" s="213"/>
      <c r="AH53" s="213"/>
      <c r="AI53" s="213"/>
      <c r="AJ53" s="213"/>
      <c r="AK53" s="213"/>
      <c r="AL53" s="213"/>
      <c r="AM53" s="213"/>
      <c r="AN53" s="213"/>
      <c r="AO53" s="213"/>
      <c r="AP53" s="213"/>
    </row>
    <row r="54" spans="1:42" ht="15.5" customHeight="1" x14ac:dyDescent="0.25">
      <c r="A54"/>
      <c r="B54" s="72" t="s">
        <v>118</v>
      </c>
      <c r="C54" s="89" t="s">
        <v>119</v>
      </c>
      <c r="D54" s="108">
        <v>0</v>
      </c>
      <c r="E54" s="108">
        <v>0</v>
      </c>
      <c r="F54" s="108">
        <v>0</v>
      </c>
      <c r="G54" s="108">
        <v>0</v>
      </c>
      <c r="H54" s="108">
        <v>0</v>
      </c>
      <c r="I54" s="108">
        <v>0</v>
      </c>
      <c r="J54" s="108">
        <v>0</v>
      </c>
      <c r="K54" s="110">
        <v>0</v>
      </c>
      <c r="L54" s="111">
        <v>0</v>
      </c>
      <c r="M54" s="111">
        <v>0</v>
      </c>
      <c r="N54" s="111">
        <v>0</v>
      </c>
      <c r="O54" s="111">
        <v>0</v>
      </c>
      <c r="P54" s="111">
        <v>1</v>
      </c>
      <c r="Q54" s="109">
        <f>ROUND($P54*(1+$Q$53)^3,0)</f>
        <v>1</v>
      </c>
      <c r="R54" s="109">
        <f>ROUND($P54*(1+$Q$53)^3*(1+$R$53)^3,0)</f>
        <v>1</v>
      </c>
      <c r="S54" s="109">
        <f>ROUND($P54*(1+$Q$53)^3*(1+$R$53)^3*(1+$S$53)^3,0)</f>
        <v>2</v>
      </c>
      <c r="T54" s="109">
        <f>ROUND($P54*(1+$Q$53)^3*(1+$R$53)^3*(1+$S$53)^3*(1+$T$53)^12,0)</f>
        <v>5</v>
      </c>
      <c r="U54" s="218"/>
      <c r="V54" s="218"/>
      <c r="W54" s="213"/>
      <c r="X54" s="213"/>
      <c r="Y54" s="213"/>
      <c r="Z54" s="213"/>
      <c r="AA54" s="213"/>
      <c r="AB54" s="213"/>
      <c r="AC54" s="213"/>
      <c r="AD54" s="213"/>
      <c r="AE54" s="213"/>
      <c r="AF54" s="213"/>
      <c r="AG54" s="213"/>
      <c r="AH54" s="213"/>
      <c r="AI54" s="213"/>
      <c r="AJ54" s="213"/>
      <c r="AK54" s="213"/>
      <c r="AL54" s="213"/>
      <c r="AM54" s="213"/>
      <c r="AN54" s="213"/>
      <c r="AO54" s="213"/>
      <c r="AP54" s="213"/>
    </row>
    <row r="55" spans="1:42" ht="15.5" customHeight="1" x14ac:dyDescent="0.25">
      <c r="A55"/>
      <c r="B55" s="72" t="s">
        <v>121</v>
      </c>
      <c r="C55" s="45" t="s">
        <v>15</v>
      </c>
      <c r="D55" s="75">
        <v>0</v>
      </c>
      <c r="E55" s="75">
        <v>0</v>
      </c>
      <c r="F55" s="75">
        <v>0</v>
      </c>
      <c r="G55" s="75">
        <v>0</v>
      </c>
      <c r="H55" s="75">
        <v>0</v>
      </c>
      <c r="I55" s="75">
        <v>0</v>
      </c>
      <c r="J55" s="75">
        <v>0</v>
      </c>
      <c r="K55" s="75">
        <v>0</v>
      </c>
      <c r="L55" s="75">
        <v>0</v>
      </c>
      <c r="M55" s="75">
        <v>0</v>
      </c>
      <c r="N55" s="75">
        <v>0</v>
      </c>
      <c r="O55" s="75">
        <v>0</v>
      </c>
      <c r="P55" s="75">
        <v>0.01</v>
      </c>
      <c r="Q55" s="75">
        <v>0.01</v>
      </c>
      <c r="R55" s="75">
        <v>0.01</v>
      </c>
      <c r="S55" s="75">
        <v>0.01</v>
      </c>
      <c r="T55" s="75">
        <v>0.01</v>
      </c>
      <c r="U55" s="218" t="s">
        <v>158</v>
      </c>
      <c r="V55" s="218"/>
      <c r="W55" s="213"/>
      <c r="X55" s="213"/>
      <c r="Y55" s="213"/>
      <c r="Z55" s="213"/>
      <c r="AA55" s="213"/>
      <c r="AB55" s="213"/>
      <c r="AC55" s="213"/>
      <c r="AD55" s="213"/>
      <c r="AE55" s="213"/>
      <c r="AF55" s="213"/>
      <c r="AG55" s="213"/>
      <c r="AH55" s="213"/>
      <c r="AI55" s="213"/>
      <c r="AJ55" s="213"/>
      <c r="AK55" s="213"/>
      <c r="AL55" s="213"/>
      <c r="AM55" s="213"/>
      <c r="AN55" s="213"/>
      <c r="AO55" s="213"/>
      <c r="AP55" s="213"/>
    </row>
    <row r="56" spans="1:42" ht="15.5" customHeight="1" x14ac:dyDescent="0.25">
      <c r="A56"/>
      <c r="B56" s="72" t="s">
        <v>123</v>
      </c>
      <c r="C56" s="82" t="s">
        <v>124</v>
      </c>
      <c r="D56" s="83">
        <v>0</v>
      </c>
      <c r="E56" s="83">
        <v>0</v>
      </c>
      <c r="F56" s="83">
        <v>0</v>
      </c>
      <c r="G56" s="83">
        <v>0</v>
      </c>
      <c r="H56" s="83">
        <v>0</v>
      </c>
      <c r="I56" s="83">
        <v>0</v>
      </c>
      <c r="J56" s="83">
        <v>0</v>
      </c>
      <c r="K56" s="83">
        <v>0</v>
      </c>
      <c r="L56" s="83">
        <v>0</v>
      </c>
      <c r="M56" s="83">
        <v>0</v>
      </c>
      <c r="N56" s="83">
        <v>0</v>
      </c>
      <c r="O56" s="83">
        <v>0</v>
      </c>
      <c r="P56" s="83">
        <v>50000</v>
      </c>
      <c r="Q56" s="83">
        <v>50000</v>
      </c>
      <c r="R56" s="83">
        <v>50000</v>
      </c>
      <c r="S56" s="83">
        <v>50000</v>
      </c>
      <c r="T56" s="83">
        <v>50000</v>
      </c>
      <c r="U56" s="218" t="s">
        <v>159</v>
      </c>
      <c r="V56" s="218"/>
      <c r="W56" s="213"/>
      <c r="X56" s="213"/>
      <c r="Y56" s="213"/>
      <c r="Z56" s="213"/>
      <c r="AA56" s="213"/>
      <c r="AB56" s="213"/>
      <c r="AC56" s="213"/>
      <c r="AD56" s="213"/>
      <c r="AE56" s="213"/>
      <c r="AF56" s="213"/>
      <c r="AG56" s="213"/>
      <c r="AH56" s="213"/>
      <c r="AI56" s="213"/>
      <c r="AJ56" s="213"/>
      <c r="AK56" s="213"/>
      <c r="AL56" s="213"/>
      <c r="AM56" s="213"/>
      <c r="AN56" s="213"/>
      <c r="AO56" s="213"/>
      <c r="AP56" s="213"/>
    </row>
    <row r="57" spans="1:42" ht="15.5" customHeight="1" x14ac:dyDescent="0.25">
      <c r="A57"/>
      <c r="B57" s="72" t="s">
        <v>126</v>
      </c>
      <c r="C57" s="31" t="s">
        <v>127</v>
      </c>
      <c r="D57" s="83">
        <v>0</v>
      </c>
      <c r="E57" s="83">
        <v>0</v>
      </c>
      <c r="F57" s="83">
        <v>0</v>
      </c>
      <c r="G57" s="83">
        <v>0</v>
      </c>
      <c r="H57" s="83">
        <v>0</v>
      </c>
      <c r="I57" s="83">
        <v>0</v>
      </c>
      <c r="J57" s="83">
        <v>0</v>
      </c>
      <c r="K57" s="83">
        <v>0</v>
      </c>
      <c r="L57" s="83">
        <v>0</v>
      </c>
      <c r="M57" s="83">
        <v>0</v>
      </c>
      <c r="N57" s="83">
        <v>3</v>
      </c>
      <c r="O57" s="83">
        <v>3</v>
      </c>
      <c r="P57" s="84">
        <f>$O$57</f>
        <v>3</v>
      </c>
      <c r="Q57" s="84">
        <f>$O$57</f>
        <v>3</v>
      </c>
      <c r="R57" s="84">
        <f>$O$57</f>
        <v>3</v>
      </c>
      <c r="S57" s="84">
        <f>$O$57</f>
        <v>3</v>
      </c>
      <c r="T57" s="84">
        <f>$O$57</f>
        <v>3</v>
      </c>
      <c r="U57" s="218" t="s">
        <v>128</v>
      </c>
      <c r="V57" s="218"/>
      <c r="W57" s="213"/>
      <c r="X57" s="213"/>
      <c r="Y57" s="213"/>
      <c r="Z57" s="213"/>
      <c r="AA57" s="213"/>
      <c r="AB57" s="213"/>
      <c r="AC57" s="213"/>
      <c r="AD57" s="213"/>
      <c r="AE57" s="213"/>
      <c r="AF57" s="213"/>
      <c r="AG57" s="213"/>
      <c r="AH57" s="213"/>
      <c r="AI57" s="213"/>
      <c r="AJ57" s="213"/>
      <c r="AK57" s="213"/>
      <c r="AL57" s="213"/>
      <c r="AM57" s="213"/>
      <c r="AN57" s="213"/>
      <c r="AO57" s="213"/>
      <c r="AP57" s="213"/>
    </row>
    <row r="58" spans="1:42" ht="15.5" customHeight="1" x14ac:dyDescent="0.25">
      <c r="A58"/>
      <c r="B58" s="72" t="s">
        <v>129</v>
      </c>
      <c r="C58" s="89" t="s">
        <v>33</v>
      </c>
      <c r="D58" s="84">
        <f t="shared" ref="D58:T58" si="9">D54*D55*D56*D57</f>
        <v>0</v>
      </c>
      <c r="E58" s="84">
        <f t="shared" si="9"/>
        <v>0</v>
      </c>
      <c r="F58" s="84">
        <f t="shared" si="9"/>
        <v>0</v>
      </c>
      <c r="G58" s="84">
        <f t="shared" si="9"/>
        <v>0</v>
      </c>
      <c r="H58" s="84">
        <f t="shared" si="9"/>
        <v>0</v>
      </c>
      <c r="I58" s="84">
        <f t="shared" si="9"/>
        <v>0</v>
      </c>
      <c r="J58" s="84">
        <f t="shared" si="9"/>
        <v>0</v>
      </c>
      <c r="K58" s="84">
        <f t="shared" si="9"/>
        <v>0</v>
      </c>
      <c r="L58" s="84">
        <f t="shared" si="9"/>
        <v>0</v>
      </c>
      <c r="M58" s="84">
        <f t="shared" si="9"/>
        <v>0</v>
      </c>
      <c r="N58" s="84">
        <f t="shared" si="9"/>
        <v>0</v>
      </c>
      <c r="O58" s="84">
        <f t="shared" si="9"/>
        <v>0</v>
      </c>
      <c r="P58" s="84">
        <f t="shared" si="9"/>
        <v>1500</v>
      </c>
      <c r="Q58" s="84">
        <f t="shared" si="9"/>
        <v>1500</v>
      </c>
      <c r="R58" s="84">
        <f t="shared" si="9"/>
        <v>1500</v>
      </c>
      <c r="S58" s="84">
        <f t="shared" si="9"/>
        <v>3000</v>
      </c>
      <c r="T58" s="84">
        <f t="shared" si="9"/>
        <v>7500</v>
      </c>
      <c r="U58" s="218"/>
      <c r="V58" s="218"/>
      <c r="W58" s="213"/>
      <c r="X58" s="213"/>
      <c r="Y58" s="213"/>
      <c r="Z58" s="213"/>
      <c r="AA58" s="213"/>
      <c r="AB58" s="213"/>
      <c r="AC58" s="213"/>
      <c r="AD58" s="213"/>
      <c r="AE58" s="213"/>
      <c r="AF58" s="213"/>
      <c r="AG58" s="213"/>
      <c r="AH58" s="213"/>
      <c r="AI58" s="213"/>
      <c r="AJ58" s="213"/>
      <c r="AK58" s="213"/>
      <c r="AL58" s="213"/>
      <c r="AM58" s="213"/>
      <c r="AN58" s="213"/>
      <c r="AO58" s="213"/>
      <c r="AP58" s="213"/>
    </row>
    <row r="59" spans="1:42" ht="15.5" customHeight="1" x14ac:dyDescent="0.25">
      <c r="A59"/>
      <c r="B59" s="72"/>
      <c r="C59"/>
      <c r="D59" s="34"/>
      <c r="E59" s="34"/>
      <c r="F59" s="34"/>
      <c r="G59" s="34"/>
      <c r="H59" s="34"/>
      <c r="I59" s="34"/>
      <c r="J59" s="34"/>
      <c r="K59" s="34"/>
      <c r="L59" s="34"/>
      <c r="M59" s="34"/>
      <c r="N59" s="34"/>
      <c r="O59" s="34"/>
      <c r="P59" s="34"/>
      <c r="Q59" s="34"/>
      <c r="R59" s="34"/>
      <c r="S59" s="34"/>
      <c r="T59" s="34"/>
      <c r="U59" s="218"/>
      <c r="V59" s="218"/>
      <c r="W59" s="213"/>
      <c r="X59" s="213"/>
      <c r="Y59" s="213"/>
      <c r="Z59" s="213"/>
      <c r="AA59" s="213"/>
      <c r="AB59" s="213"/>
      <c r="AC59" s="213"/>
      <c r="AD59" s="213"/>
      <c r="AE59" s="213"/>
      <c r="AF59" s="213"/>
      <c r="AG59" s="213"/>
      <c r="AH59" s="213"/>
      <c r="AI59" s="213"/>
      <c r="AJ59" s="213"/>
      <c r="AK59" s="213"/>
      <c r="AL59" s="213"/>
      <c r="AM59" s="213"/>
      <c r="AN59" s="213"/>
      <c r="AO59" s="213"/>
      <c r="AP59" s="213"/>
    </row>
    <row r="60" spans="1:42" ht="15.5" customHeight="1" x14ac:dyDescent="0.25">
      <c r="A60"/>
      <c r="B60" s="80" t="s">
        <v>130</v>
      </c>
      <c r="C60" s="31"/>
      <c r="D60" s="79" t="s">
        <v>16</v>
      </c>
      <c r="E60" s="79" t="s">
        <v>17</v>
      </c>
      <c r="F60" s="79" t="s">
        <v>18</v>
      </c>
      <c r="G60" s="79" t="s">
        <v>19</v>
      </c>
      <c r="H60" s="79" t="s">
        <v>20</v>
      </c>
      <c r="I60" s="79" t="s">
        <v>21</v>
      </c>
      <c r="J60" s="79" t="s">
        <v>22</v>
      </c>
      <c r="K60" s="79" t="s">
        <v>23</v>
      </c>
      <c r="L60" s="79" t="s">
        <v>24</v>
      </c>
      <c r="M60" s="79" t="s">
        <v>25</v>
      </c>
      <c r="N60" s="79" t="s">
        <v>26</v>
      </c>
      <c r="O60" s="79" t="s">
        <v>27</v>
      </c>
      <c r="P60" s="79" t="s">
        <v>28</v>
      </c>
      <c r="Q60" s="79" t="s">
        <v>29</v>
      </c>
      <c r="R60" s="79" t="s">
        <v>30</v>
      </c>
      <c r="S60" s="79" t="s">
        <v>31</v>
      </c>
      <c r="T60" s="79" t="s">
        <v>32</v>
      </c>
      <c r="U60" s="218"/>
      <c r="V60" s="218"/>
      <c r="W60" s="213"/>
      <c r="X60" s="213"/>
      <c r="Y60" s="213"/>
      <c r="Z60" s="213"/>
      <c r="AA60" s="213"/>
      <c r="AB60" s="213"/>
      <c r="AC60" s="213"/>
      <c r="AD60" s="213"/>
      <c r="AE60" s="213"/>
      <c r="AF60" s="213"/>
      <c r="AG60" s="213"/>
      <c r="AH60" s="213"/>
      <c r="AI60" s="213"/>
      <c r="AJ60" s="213"/>
      <c r="AK60" s="213"/>
      <c r="AL60" s="213"/>
      <c r="AM60" s="213"/>
      <c r="AN60" s="213"/>
      <c r="AO60" s="213"/>
      <c r="AP60" s="213"/>
    </row>
    <row r="61" spans="1:42" ht="15.5" customHeight="1" x14ac:dyDescent="0.25">
      <c r="A61"/>
      <c r="B61" s="72" t="s">
        <v>116</v>
      </c>
      <c r="C61" s="31" t="s">
        <v>15</v>
      </c>
      <c r="D61" s="86">
        <v>0</v>
      </c>
      <c r="E61" s="86">
        <v>0</v>
      </c>
      <c r="F61" s="86">
        <v>0</v>
      </c>
      <c r="G61" s="86">
        <v>0</v>
      </c>
      <c r="H61" s="86">
        <v>0</v>
      </c>
      <c r="I61" s="86">
        <v>0</v>
      </c>
      <c r="J61" s="86">
        <v>0</v>
      </c>
      <c r="K61" s="86">
        <v>2</v>
      </c>
      <c r="L61" s="86">
        <v>1.333333333333333</v>
      </c>
      <c r="M61" s="86">
        <v>1.142857142857143</v>
      </c>
      <c r="N61" s="86">
        <v>1.0666666666666671</v>
      </c>
      <c r="O61" s="86">
        <v>1.032258064516129</v>
      </c>
      <c r="P61" s="86">
        <v>0.2152504370215301</v>
      </c>
      <c r="Q61" s="86">
        <v>7.8521909321406125E-2</v>
      </c>
      <c r="R61" s="86">
        <v>2.8436155726361271E-2</v>
      </c>
      <c r="S61" s="86">
        <v>2.8436155726361271E-2</v>
      </c>
      <c r="T61" s="86">
        <v>2.8436155726361271E-2</v>
      </c>
      <c r="U61" s="218" t="s">
        <v>160</v>
      </c>
      <c r="V61" s="218"/>
      <c r="W61" s="213"/>
      <c r="X61" s="213"/>
      <c r="Y61" s="213"/>
      <c r="Z61" s="213"/>
      <c r="AA61" s="213"/>
      <c r="AB61" s="213"/>
      <c r="AC61" s="213"/>
      <c r="AD61" s="213"/>
      <c r="AE61" s="213"/>
      <c r="AF61" s="213"/>
      <c r="AG61" s="213"/>
      <c r="AH61" s="213"/>
      <c r="AI61" s="213"/>
      <c r="AJ61" s="213"/>
      <c r="AK61" s="213"/>
      <c r="AL61" s="213"/>
      <c r="AM61" s="213"/>
      <c r="AN61" s="213"/>
      <c r="AO61" s="213"/>
      <c r="AP61" s="213"/>
    </row>
    <row r="62" spans="1:42" ht="15.5" customHeight="1" x14ac:dyDescent="0.25">
      <c r="A62"/>
      <c r="B62" s="72" t="s">
        <v>131</v>
      </c>
      <c r="C62" s="31" t="s">
        <v>132</v>
      </c>
      <c r="D62" s="108">
        <v>0</v>
      </c>
      <c r="E62" s="108">
        <v>0</v>
      </c>
      <c r="F62" s="108">
        <v>0</v>
      </c>
      <c r="G62" s="108">
        <v>0</v>
      </c>
      <c r="H62" s="108">
        <v>0</v>
      </c>
      <c r="I62" s="108">
        <v>0</v>
      </c>
      <c r="J62" s="108">
        <v>1</v>
      </c>
      <c r="K62" s="111">
        <f>ROUND($J62*(1+$K$61),0)</f>
        <v>3</v>
      </c>
      <c r="L62" s="111">
        <f>ROUND($J62*(1+$K$61)*(1+$L$61),0)</f>
        <v>7</v>
      </c>
      <c r="M62" s="111">
        <f>ROUND($J62*(1+$K$61)*(1+$L$61)*(1+$M$61),0)</f>
        <v>15</v>
      </c>
      <c r="N62" s="109">
        <f>ROUND($J62*(1+$K$61)*(1+$L$61)*(1+$M$61)*(1+$N$61),0)</f>
        <v>31</v>
      </c>
      <c r="O62" s="109">
        <f>ROUND($J62*(1+$K$61)*(1+$L$61)*(1+$M$61)*(1+$N$61)*(1+$O$61),0)</f>
        <v>63</v>
      </c>
      <c r="P62" s="109">
        <v>138</v>
      </c>
      <c r="Q62" s="109">
        <v>183</v>
      </c>
      <c r="R62" s="109">
        <f>ROUND($Q62*(1+$R$61)^3,0)</f>
        <v>199</v>
      </c>
      <c r="S62" s="109">
        <f>ROUND($Q62*(1+$R$61)^3*(1+$S$61)^3,0)</f>
        <v>217</v>
      </c>
      <c r="T62" s="109">
        <f>ROUND($Q62*(1+$R$61)^3*(1+$S$61)^3*(1+$T$61)^12,0)</f>
        <v>303</v>
      </c>
      <c r="U62" s="218" t="s">
        <v>161</v>
      </c>
      <c r="V62" s="218"/>
      <c r="W62" s="213"/>
      <c r="X62" s="213"/>
      <c r="Y62" s="213"/>
      <c r="Z62" s="213"/>
      <c r="AA62" s="213"/>
      <c r="AB62" s="213"/>
      <c r="AC62" s="213"/>
      <c r="AD62" s="213"/>
      <c r="AE62" s="213"/>
      <c r="AF62" s="213"/>
      <c r="AG62" s="213"/>
      <c r="AH62" s="213"/>
      <c r="AI62" s="213"/>
      <c r="AJ62" s="213"/>
      <c r="AK62" s="213"/>
      <c r="AL62" s="213"/>
      <c r="AM62" s="213"/>
      <c r="AN62" s="213"/>
      <c r="AO62" s="213"/>
      <c r="AP62" s="213"/>
    </row>
    <row r="63" spans="1:42" ht="15.5" customHeight="1" x14ac:dyDescent="0.25">
      <c r="A63"/>
      <c r="B63" s="72" t="s">
        <v>133</v>
      </c>
      <c r="C63" s="31" t="s">
        <v>134</v>
      </c>
      <c r="D63" s="83">
        <v>0</v>
      </c>
      <c r="E63" s="83">
        <v>0</v>
      </c>
      <c r="F63" s="83">
        <v>0</v>
      </c>
      <c r="G63" s="83">
        <v>0</v>
      </c>
      <c r="H63" s="83">
        <v>0</v>
      </c>
      <c r="I63" s="83">
        <v>0</v>
      </c>
      <c r="J63" s="83">
        <v>50000</v>
      </c>
      <c r="K63" s="83">
        <v>50000</v>
      </c>
      <c r="L63" s="83">
        <v>50000</v>
      </c>
      <c r="M63" s="83">
        <v>50000</v>
      </c>
      <c r="N63" s="83">
        <v>50000</v>
      </c>
      <c r="O63" s="83">
        <v>50000</v>
      </c>
      <c r="P63" s="83">
        <v>50000</v>
      </c>
      <c r="Q63" s="83">
        <v>50000</v>
      </c>
      <c r="R63" s="83">
        <v>50000</v>
      </c>
      <c r="S63" s="83">
        <v>50000</v>
      </c>
      <c r="T63" s="83">
        <v>50000</v>
      </c>
      <c r="U63" s="219" t="s">
        <v>162</v>
      </c>
      <c r="V63" s="220"/>
      <c r="W63" s="211"/>
      <c r="X63" s="211"/>
      <c r="Y63" s="211"/>
      <c r="Z63" s="211"/>
      <c r="AA63" s="211"/>
      <c r="AB63"/>
    </row>
    <row r="64" spans="1:42" ht="15.5" customHeight="1" x14ac:dyDescent="0.25">
      <c r="A64"/>
      <c r="B64" s="72" t="s">
        <v>135</v>
      </c>
      <c r="C64" s="45" t="s">
        <v>15</v>
      </c>
      <c r="D64" s="75">
        <v>0</v>
      </c>
      <c r="E64" s="75">
        <v>0</v>
      </c>
      <c r="F64" s="75">
        <v>0</v>
      </c>
      <c r="G64" s="75">
        <v>0</v>
      </c>
      <c r="H64" s="75">
        <v>0</v>
      </c>
      <c r="I64" s="75">
        <v>0</v>
      </c>
      <c r="J64" s="75">
        <v>0.1</v>
      </c>
      <c r="K64" s="75">
        <v>0.2</v>
      </c>
      <c r="L64" s="75">
        <v>0.3</v>
      </c>
      <c r="M64" s="75">
        <v>0.3</v>
      </c>
      <c r="N64" s="75">
        <v>0.3</v>
      </c>
      <c r="O64" s="75">
        <v>0.3</v>
      </c>
      <c r="P64" s="75">
        <v>0.4</v>
      </c>
      <c r="Q64" s="75">
        <v>0.4</v>
      </c>
      <c r="R64" s="75">
        <v>0.4</v>
      </c>
      <c r="S64" s="75">
        <v>0.4</v>
      </c>
      <c r="T64" s="75">
        <v>0.4</v>
      </c>
      <c r="U64" s="217" t="s">
        <v>163</v>
      </c>
      <c r="V64" s="220"/>
      <c r="W64" s="211"/>
      <c r="X64" s="211"/>
      <c r="Y64" s="211"/>
      <c r="Z64" s="211"/>
      <c r="AA64" s="211"/>
      <c r="AB64"/>
    </row>
    <row r="65" spans="1:41" ht="15.5" customHeight="1" x14ac:dyDescent="0.25">
      <c r="A65"/>
      <c r="B65" s="85" t="s">
        <v>136</v>
      </c>
      <c r="C65" s="31" t="s">
        <v>137</v>
      </c>
      <c r="D65" s="84">
        <f t="shared" ref="D65:T65" si="10">D62*D63*D64</f>
        <v>0</v>
      </c>
      <c r="E65" s="84">
        <f t="shared" si="10"/>
        <v>0</v>
      </c>
      <c r="F65" s="84">
        <f t="shared" si="10"/>
        <v>0</v>
      </c>
      <c r="G65" s="84">
        <f t="shared" si="10"/>
        <v>0</v>
      </c>
      <c r="H65" s="84">
        <f t="shared" si="10"/>
        <v>0</v>
      </c>
      <c r="I65" s="84">
        <f t="shared" si="10"/>
        <v>0</v>
      </c>
      <c r="J65" s="84">
        <f t="shared" si="10"/>
        <v>5000</v>
      </c>
      <c r="K65" s="84">
        <f t="shared" si="10"/>
        <v>30000</v>
      </c>
      <c r="L65" s="84">
        <f t="shared" si="10"/>
        <v>105000</v>
      </c>
      <c r="M65" s="84">
        <f t="shared" si="10"/>
        <v>225000</v>
      </c>
      <c r="N65" s="84">
        <f t="shared" si="10"/>
        <v>465000</v>
      </c>
      <c r="O65" s="84">
        <f t="shared" si="10"/>
        <v>945000</v>
      </c>
      <c r="P65" s="84">
        <f t="shared" si="10"/>
        <v>2760000</v>
      </c>
      <c r="Q65" s="84">
        <f t="shared" si="10"/>
        <v>3660000</v>
      </c>
      <c r="R65" s="84">
        <f t="shared" si="10"/>
        <v>3980000</v>
      </c>
      <c r="S65" s="84">
        <f t="shared" si="10"/>
        <v>4340000</v>
      </c>
      <c r="T65" s="84">
        <f t="shared" si="10"/>
        <v>6060000</v>
      </c>
      <c r="U65" s="220"/>
      <c r="V65" s="220"/>
      <c r="W65" s="211"/>
      <c r="X65" s="211"/>
      <c r="Y65" s="211"/>
      <c r="Z65" s="211"/>
      <c r="AA65" s="211"/>
      <c r="AB65"/>
    </row>
    <row r="66" spans="1:41" ht="15.5" customHeight="1" x14ac:dyDescent="0.25">
      <c r="A66"/>
      <c r="B66" s="72" t="s">
        <v>138</v>
      </c>
      <c r="C66" s="31" t="s">
        <v>15</v>
      </c>
      <c r="D66" s="75">
        <v>0</v>
      </c>
      <c r="E66" s="75">
        <v>0</v>
      </c>
      <c r="F66" s="75">
        <v>0</v>
      </c>
      <c r="G66" s="75">
        <v>0</v>
      </c>
      <c r="H66" s="75">
        <v>0</v>
      </c>
      <c r="I66" s="75">
        <v>0</v>
      </c>
      <c r="J66" s="75">
        <v>0.05</v>
      </c>
      <c r="K66" s="75">
        <v>0.05</v>
      </c>
      <c r="L66" s="75">
        <v>0.05</v>
      </c>
      <c r="M66" s="75">
        <v>0.05</v>
      </c>
      <c r="N66" s="75">
        <v>0.05</v>
      </c>
      <c r="O66" s="75">
        <v>0.05</v>
      </c>
      <c r="P66" s="86">
        <v>7.4999999999999997E-2</v>
      </c>
      <c r="Q66" s="86">
        <v>7.4999999999999997E-2</v>
      </c>
      <c r="R66" s="86">
        <v>7.4999999999999997E-2</v>
      </c>
      <c r="S66" s="86">
        <v>0.1</v>
      </c>
      <c r="T66" s="75">
        <v>0.15</v>
      </c>
      <c r="U66" s="219" t="s">
        <v>139</v>
      </c>
      <c r="V66" s="220"/>
      <c r="W66" s="211"/>
      <c r="X66" s="211"/>
      <c r="Y66" s="211"/>
      <c r="Z66" s="211"/>
      <c r="AA66" s="211"/>
      <c r="AB66"/>
    </row>
    <row r="67" spans="1:41" ht="15.5" customHeight="1" x14ac:dyDescent="0.25">
      <c r="A67"/>
      <c r="B67" s="72" t="s">
        <v>126</v>
      </c>
      <c r="C67" s="31" t="s">
        <v>127</v>
      </c>
      <c r="D67" s="83">
        <v>0</v>
      </c>
      <c r="E67" s="83">
        <v>0</v>
      </c>
      <c r="F67" s="83">
        <v>0</v>
      </c>
      <c r="G67" s="83">
        <v>0</v>
      </c>
      <c r="H67" s="83">
        <v>0</v>
      </c>
      <c r="I67" s="83">
        <v>0</v>
      </c>
      <c r="J67" s="83">
        <v>3</v>
      </c>
      <c r="K67" s="83">
        <v>3</v>
      </c>
      <c r="L67" s="83">
        <v>3</v>
      </c>
      <c r="M67" s="83">
        <v>3</v>
      </c>
      <c r="N67" s="83">
        <v>3</v>
      </c>
      <c r="O67" s="83">
        <v>3</v>
      </c>
      <c r="P67" s="84">
        <f>$O$67</f>
        <v>3</v>
      </c>
      <c r="Q67" s="84">
        <f>$O$67</f>
        <v>3</v>
      </c>
      <c r="R67" s="84">
        <f>$O$67</f>
        <v>3</v>
      </c>
      <c r="S67" s="84">
        <f>$O$67</f>
        <v>3</v>
      </c>
      <c r="T67" s="84">
        <f>$O$67</f>
        <v>3</v>
      </c>
      <c r="U67" s="219" t="s">
        <v>128</v>
      </c>
      <c r="V67" s="220"/>
      <c r="W67" s="211"/>
      <c r="X67" s="211"/>
      <c r="Y67" s="211"/>
      <c r="Z67" s="211"/>
      <c r="AA67" s="211"/>
      <c r="AB67"/>
    </row>
    <row r="68" spans="1:41" ht="15.5" customHeight="1" x14ac:dyDescent="0.25">
      <c r="A68"/>
      <c r="B68" s="72" t="s">
        <v>129</v>
      </c>
      <c r="C68" s="82" t="s">
        <v>33</v>
      </c>
      <c r="D68" s="84">
        <f t="shared" ref="D68:T68" si="11">PRODUCT(D65:D67)</f>
        <v>0</v>
      </c>
      <c r="E68" s="84">
        <f t="shared" si="11"/>
        <v>0</v>
      </c>
      <c r="F68" s="84">
        <f t="shared" si="11"/>
        <v>0</v>
      </c>
      <c r="G68" s="84">
        <f t="shared" si="11"/>
        <v>0</v>
      </c>
      <c r="H68" s="84">
        <f t="shared" si="11"/>
        <v>0</v>
      </c>
      <c r="I68" s="84">
        <f t="shared" si="11"/>
        <v>0</v>
      </c>
      <c r="J68" s="84">
        <f t="shared" si="11"/>
        <v>750</v>
      </c>
      <c r="K68" s="84">
        <f t="shared" si="11"/>
        <v>4500</v>
      </c>
      <c r="L68" s="84">
        <f t="shared" si="11"/>
        <v>15750</v>
      </c>
      <c r="M68" s="84">
        <f t="shared" si="11"/>
        <v>33750</v>
      </c>
      <c r="N68" s="84">
        <f t="shared" si="11"/>
        <v>69750</v>
      </c>
      <c r="O68" s="84">
        <f t="shared" si="11"/>
        <v>141750</v>
      </c>
      <c r="P68" s="84">
        <f t="shared" si="11"/>
        <v>621000</v>
      </c>
      <c r="Q68" s="84">
        <f t="shared" si="11"/>
        <v>823500</v>
      </c>
      <c r="R68" s="84">
        <f t="shared" si="11"/>
        <v>895500</v>
      </c>
      <c r="S68" s="84">
        <f t="shared" si="11"/>
        <v>1302000</v>
      </c>
      <c r="T68" s="84">
        <f t="shared" si="11"/>
        <v>2727000</v>
      </c>
      <c r="U68" s="220"/>
      <c r="V68" s="220"/>
      <c r="W68" s="211"/>
      <c r="X68" s="211"/>
      <c r="Y68" s="211"/>
      <c r="Z68" s="211"/>
      <c r="AA68" s="211"/>
      <c r="AB68"/>
    </row>
    <row r="69" spans="1:41" ht="15.5" customHeight="1" x14ac:dyDescent="0.25">
      <c r="A69"/>
      <c r="B69" s="72"/>
      <c r="C69"/>
      <c r="D69"/>
      <c r="E69"/>
      <c r="F69"/>
      <c r="G69"/>
      <c r="H69"/>
      <c r="I69"/>
      <c r="J69"/>
      <c r="K69"/>
      <c r="L69"/>
      <c r="M69"/>
      <c r="N69"/>
      <c r="O69"/>
      <c r="P69"/>
      <c r="Q69"/>
      <c r="R69"/>
      <c r="S69"/>
      <c r="T69"/>
      <c r="U69" s="220"/>
      <c r="V69" s="220"/>
      <c r="W69" s="211"/>
      <c r="X69" s="211"/>
      <c r="Y69" s="211"/>
      <c r="Z69" s="211"/>
      <c r="AA69" s="211"/>
      <c r="AB69"/>
    </row>
    <row r="70" spans="1:41" ht="15.5" customHeight="1" x14ac:dyDescent="0.25">
      <c r="A70"/>
      <c r="B70" s="87" t="s">
        <v>140</v>
      </c>
      <c r="C70"/>
      <c r="D70" s="79" t="s">
        <v>16</v>
      </c>
      <c r="E70" s="79" t="s">
        <v>17</v>
      </c>
      <c r="F70" s="79" t="s">
        <v>18</v>
      </c>
      <c r="G70" s="79" t="s">
        <v>19</v>
      </c>
      <c r="H70" s="79" t="s">
        <v>20</v>
      </c>
      <c r="I70" s="79" t="s">
        <v>21</v>
      </c>
      <c r="J70" s="79" t="s">
        <v>22</v>
      </c>
      <c r="K70" s="79" t="s">
        <v>23</v>
      </c>
      <c r="L70" s="79" t="s">
        <v>24</v>
      </c>
      <c r="M70" s="79" t="s">
        <v>25</v>
      </c>
      <c r="N70" s="79" t="s">
        <v>26</v>
      </c>
      <c r="O70" s="79" t="s">
        <v>27</v>
      </c>
      <c r="P70" s="79" t="s">
        <v>28</v>
      </c>
      <c r="Q70" s="79" t="s">
        <v>29</v>
      </c>
      <c r="R70" s="79" t="s">
        <v>30</v>
      </c>
      <c r="S70" s="79" t="s">
        <v>31</v>
      </c>
      <c r="T70" s="79" t="s">
        <v>32</v>
      </c>
      <c r="U70" s="220"/>
      <c r="V70" s="220"/>
      <c r="W70" s="211"/>
      <c r="X70" s="211"/>
      <c r="Y70" s="211"/>
      <c r="Z70" s="211"/>
      <c r="AA70" s="211"/>
      <c r="AB70"/>
    </row>
    <row r="71" spans="1:41" ht="15.5" customHeight="1" x14ac:dyDescent="0.25">
      <c r="A71"/>
      <c r="B71" s="72" t="s">
        <v>141</v>
      </c>
      <c r="C71" s="31" t="s">
        <v>142</v>
      </c>
      <c r="D71" s="84">
        <f t="shared" ref="D71:T71" si="12">D54*D56+D62*D63*D64</f>
        <v>0</v>
      </c>
      <c r="E71" s="84">
        <f t="shared" si="12"/>
        <v>0</v>
      </c>
      <c r="F71" s="84">
        <f t="shared" si="12"/>
        <v>0</v>
      </c>
      <c r="G71" s="84">
        <f t="shared" si="12"/>
        <v>0</v>
      </c>
      <c r="H71" s="84">
        <f t="shared" si="12"/>
        <v>0</v>
      </c>
      <c r="I71" s="84">
        <f t="shared" si="12"/>
        <v>0</v>
      </c>
      <c r="J71" s="84">
        <f t="shared" si="12"/>
        <v>5000</v>
      </c>
      <c r="K71" s="84">
        <f t="shared" si="12"/>
        <v>30000</v>
      </c>
      <c r="L71" s="84">
        <f t="shared" si="12"/>
        <v>105000</v>
      </c>
      <c r="M71" s="84">
        <f t="shared" si="12"/>
        <v>225000</v>
      </c>
      <c r="N71" s="84">
        <f t="shared" si="12"/>
        <v>465000</v>
      </c>
      <c r="O71" s="84">
        <f t="shared" si="12"/>
        <v>945000</v>
      </c>
      <c r="P71" s="84">
        <f t="shared" si="12"/>
        <v>2810000</v>
      </c>
      <c r="Q71" s="84">
        <f t="shared" si="12"/>
        <v>3710000</v>
      </c>
      <c r="R71" s="84">
        <f t="shared" si="12"/>
        <v>4030000</v>
      </c>
      <c r="S71" s="84">
        <f t="shared" si="12"/>
        <v>4440000</v>
      </c>
      <c r="T71" s="84">
        <f t="shared" si="12"/>
        <v>6310000</v>
      </c>
      <c r="U71" s="221" t="s">
        <v>164</v>
      </c>
      <c r="W71"/>
      <c r="X71"/>
      <c r="Y71"/>
      <c r="Z71"/>
      <c r="AA71"/>
      <c r="AB71"/>
    </row>
    <row r="72" spans="1:41" ht="15.5" customHeight="1" x14ac:dyDescent="0.25">
      <c r="A72"/>
      <c r="B72" s="72" t="s">
        <v>144</v>
      </c>
      <c r="C72" s="31" t="s">
        <v>145</v>
      </c>
      <c r="D72" s="83">
        <v>0</v>
      </c>
      <c r="E72" s="83">
        <v>0</v>
      </c>
      <c r="F72" s="83">
        <v>0</v>
      </c>
      <c r="G72" s="83">
        <v>0</v>
      </c>
      <c r="H72" s="83">
        <v>0</v>
      </c>
      <c r="I72" s="83">
        <v>0</v>
      </c>
      <c r="J72" s="83">
        <v>1</v>
      </c>
      <c r="K72" s="83">
        <v>1</v>
      </c>
      <c r="L72" s="83">
        <v>1</v>
      </c>
      <c r="M72" s="83">
        <v>1</v>
      </c>
      <c r="N72" s="83">
        <v>1</v>
      </c>
      <c r="O72" s="83">
        <v>1</v>
      </c>
      <c r="P72" s="83">
        <v>2</v>
      </c>
      <c r="Q72" s="83">
        <v>3</v>
      </c>
      <c r="R72" s="83">
        <v>3</v>
      </c>
      <c r="S72" s="83">
        <v>3</v>
      </c>
      <c r="T72" s="83">
        <v>4.2650366599999998</v>
      </c>
      <c r="U72" s="221" t="s">
        <v>165</v>
      </c>
      <c r="V72" s="6"/>
      <c r="W72"/>
      <c r="X72"/>
      <c r="Y72"/>
      <c r="Z72"/>
      <c r="AA72"/>
      <c r="AB72"/>
    </row>
    <row r="73" spans="1:41" ht="15.5" customHeight="1" x14ac:dyDescent="0.25">
      <c r="A73"/>
      <c r="B73" s="72" t="s">
        <v>146</v>
      </c>
      <c r="C73" s="31" t="s">
        <v>142</v>
      </c>
      <c r="D73" s="84">
        <f t="shared" ref="D73:T73" si="13">D71*D72</f>
        <v>0</v>
      </c>
      <c r="E73" s="84">
        <f t="shared" si="13"/>
        <v>0</v>
      </c>
      <c r="F73" s="84">
        <f t="shared" si="13"/>
        <v>0</v>
      </c>
      <c r="G73" s="84">
        <f t="shared" si="13"/>
        <v>0</v>
      </c>
      <c r="H73" s="84">
        <f t="shared" si="13"/>
        <v>0</v>
      </c>
      <c r="I73" s="84">
        <f t="shared" si="13"/>
        <v>0</v>
      </c>
      <c r="J73" s="84">
        <f t="shared" si="13"/>
        <v>5000</v>
      </c>
      <c r="K73" s="84">
        <f t="shared" si="13"/>
        <v>30000</v>
      </c>
      <c r="L73" s="84">
        <f t="shared" si="13"/>
        <v>105000</v>
      </c>
      <c r="M73" s="84">
        <f t="shared" si="13"/>
        <v>225000</v>
      </c>
      <c r="N73" s="84">
        <f t="shared" si="13"/>
        <v>465000</v>
      </c>
      <c r="O73" s="84">
        <f t="shared" si="13"/>
        <v>945000</v>
      </c>
      <c r="P73" s="84">
        <f t="shared" si="13"/>
        <v>5620000</v>
      </c>
      <c r="Q73" s="84">
        <f t="shared" si="13"/>
        <v>11130000</v>
      </c>
      <c r="R73" s="84">
        <f t="shared" si="13"/>
        <v>12090000</v>
      </c>
      <c r="S73" s="84">
        <f t="shared" si="13"/>
        <v>13320000</v>
      </c>
      <c r="T73" s="84">
        <f t="shared" si="13"/>
        <v>26912381.3246</v>
      </c>
      <c r="U73" s="6"/>
      <c r="V73" s="6"/>
      <c r="W73"/>
      <c r="X73"/>
      <c r="Y73"/>
      <c r="Z73"/>
      <c r="AA73"/>
      <c r="AB73"/>
    </row>
    <row r="74" spans="1:41" ht="15.5" customHeight="1" x14ac:dyDescent="0.25">
      <c r="A74"/>
      <c r="B74" s="72" t="s">
        <v>147</v>
      </c>
      <c r="C74" s="31" t="s">
        <v>15</v>
      </c>
      <c r="D74" s="75">
        <v>0</v>
      </c>
      <c r="E74" s="75">
        <v>0</v>
      </c>
      <c r="F74" s="75">
        <v>0</v>
      </c>
      <c r="G74" s="75">
        <v>0</v>
      </c>
      <c r="H74" s="75">
        <v>0</v>
      </c>
      <c r="I74" s="75">
        <v>0</v>
      </c>
      <c r="J74" s="75">
        <v>0</v>
      </c>
      <c r="K74" s="75">
        <v>0</v>
      </c>
      <c r="L74" s="75">
        <v>0</v>
      </c>
      <c r="M74" s="75">
        <v>0</v>
      </c>
      <c r="N74" s="75">
        <v>0.05</v>
      </c>
      <c r="O74" s="75">
        <v>0.1</v>
      </c>
      <c r="P74" s="75">
        <v>0.18</v>
      </c>
      <c r="Q74" s="75">
        <v>0.18</v>
      </c>
      <c r="R74" s="75">
        <v>0.18</v>
      </c>
      <c r="S74" s="75">
        <v>0.18</v>
      </c>
      <c r="T74" s="75">
        <v>0.18</v>
      </c>
      <c r="U74" s="131" t="s">
        <v>166</v>
      </c>
      <c r="V74" s="6"/>
      <c r="W74"/>
      <c r="X74"/>
      <c r="Y74"/>
      <c r="Z74"/>
      <c r="AA74"/>
      <c r="AB74"/>
    </row>
    <row r="75" spans="1:41" ht="15.5" customHeight="1" x14ac:dyDescent="0.25">
      <c r="A75"/>
      <c r="B75" s="72" t="s">
        <v>148</v>
      </c>
      <c r="C75" s="31" t="s">
        <v>149</v>
      </c>
      <c r="D75" s="84">
        <f t="shared" ref="D75:T75" si="14">D73*D74</f>
        <v>0</v>
      </c>
      <c r="E75" s="84">
        <f t="shared" si="14"/>
        <v>0</v>
      </c>
      <c r="F75" s="84">
        <f t="shared" si="14"/>
        <v>0</v>
      </c>
      <c r="G75" s="84">
        <f t="shared" si="14"/>
        <v>0</v>
      </c>
      <c r="H75" s="84">
        <f t="shared" si="14"/>
        <v>0</v>
      </c>
      <c r="I75" s="84">
        <f t="shared" si="14"/>
        <v>0</v>
      </c>
      <c r="J75" s="84">
        <f t="shared" si="14"/>
        <v>0</v>
      </c>
      <c r="K75" s="84">
        <f t="shared" si="14"/>
        <v>0</v>
      </c>
      <c r="L75" s="84">
        <f t="shared" si="14"/>
        <v>0</v>
      </c>
      <c r="M75" s="84">
        <f t="shared" si="14"/>
        <v>0</v>
      </c>
      <c r="N75" s="84">
        <f t="shared" si="14"/>
        <v>23250</v>
      </c>
      <c r="O75" s="84">
        <f t="shared" si="14"/>
        <v>94500</v>
      </c>
      <c r="P75" s="84">
        <f t="shared" si="14"/>
        <v>1011600</v>
      </c>
      <c r="Q75" s="84">
        <f t="shared" si="14"/>
        <v>2003400</v>
      </c>
      <c r="R75" s="84">
        <f t="shared" si="14"/>
        <v>2176200</v>
      </c>
      <c r="S75" s="84">
        <f t="shared" si="14"/>
        <v>2397600</v>
      </c>
      <c r="T75" s="84">
        <f t="shared" si="14"/>
        <v>4844228.6384279998</v>
      </c>
      <c r="U75" s="6"/>
      <c r="V75" s="6"/>
      <c r="W75"/>
      <c r="X75"/>
      <c r="Y75"/>
      <c r="Z75"/>
      <c r="AA75"/>
      <c r="AB75"/>
    </row>
    <row r="76" spans="1:41" ht="15.5" customHeight="1" x14ac:dyDescent="0.25">
      <c r="A76"/>
      <c r="B76" s="72" t="s">
        <v>150</v>
      </c>
      <c r="C76" s="31" t="s">
        <v>33</v>
      </c>
      <c r="D76" s="83">
        <v>0</v>
      </c>
      <c r="E76" s="83">
        <v>0</v>
      </c>
      <c r="F76" s="83">
        <v>0</v>
      </c>
      <c r="G76" s="83">
        <v>0</v>
      </c>
      <c r="H76" s="83">
        <v>0</v>
      </c>
      <c r="I76" s="83">
        <v>0</v>
      </c>
      <c r="J76" s="83">
        <v>0</v>
      </c>
      <c r="K76" s="83">
        <v>0</v>
      </c>
      <c r="L76" s="83">
        <v>0</v>
      </c>
      <c r="M76" s="83">
        <v>0</v>
      </c>
      <c r="N76" s="83">
        <v>50</v>
      </c>
      <c r="O76" s="83">
        <v>50</v>
      </c>
      <c r="P76" s="84">
        <f>$O$76</f>
        <v>50</v>
      </c>
      <c r="Q76" s="84">
        <f>$O$76</f>
        <v>50</v>
      </c>
      <c r="R76" s="84">
        <f>$O$76</f>
        <v>50</v>
      </c>
      <c r="S76" s="84">
        <f>$O$76</f>
        <v>50</v>
      </c>
      <c r="T76" s="84">
        <f>$O$76</f>
        <v>50</v>
      </c>
      <c r="U76" s="221" t="s">
        <v>167</v>
      </c>
      <c r="V76" s="6"/>
      <c r="W76"/>
      <c r="X76"/>
      <c r="Y76"/>
      <c r="Z76"/>
      <c r="AA76"/>
      <c r="AB76"/>
    </row>
    <row r="77" spans="1:41" ht="15.5" customHeight="1" x14ac:dyDescent="0.25">
      <c r="A77"/>
      <c r="B77" s="72" t="s">
        <v>151</v>
      </c>
      <c r="C77" s="31" t="s">
        <v>15</v>
      </c>
      <c r="D77" s="75">
        <v>0</v>
      </c>
      <c r="E77" s="75">
        <v>0</v>
      </c>
      <c r="F77" s="75">
        <v>0</v>
      </c>
      <c r="G77" s="75">
        <v>0</v>
      </c>
      <c r="H77" s="75">
        <v>0</v>
      </c>
      <c r="I77" s="75">
        <v>0</v>
      </c>
      <c r="J77" s="75">
        <v>0</v>
      </c>
      <c r="K77" s="75">
        <v>0</v>
      </c>
      <c r="L77" s="75">
        <v>0</v>
      </c>
      <c r="M77" s="75">
        <v>0</v>
      </c>
      <c r="N77" s="75">
        <v>1</v>
      </c>
      <c r="O77" s="75">
        <v>1</v>
      </c>
      <c r="P77" s="75">
        <v>1</v>
      </c>
      <c r="Q77" s="75">
        <v>1</v>
      </c>
      <c r="R77" s="75">
        <v>1</v>
      </c>
      <c r="S77" s="75">
        <v>1</v>
      </c>
      <c r="T77" s="75">
        <v>1</v>
      </c>
      <c r="U77" s="221" t="s">
        <v>154</v>
      </c>
      <c r="V77" s="6"/>
      <c r="W77"/>
      <c r="X77"/>
      <c r="Y77"/>
      <c r="Z77"/>
      <c r="AA77"/>
      <c r="AB77"/>
    </row>
    <row r="78" spans="1:41" ht="15.5" customHeight="1" x14ac:dyDescent="0.25">
      <c r="A78"/>
      <c r="B78" s="72" t="s">
        <v>153</v>
      </c>
      <c r="C78" s="31" t="s">
        <v>15</v>
      </c>
      <c r="D78" s="75">
        <v>0</v>
      </c>
      <c r="E78" s="75">
        <v>0</v>
      </c>
      <c r="F78" s="75">
        <v>0</v>
      </c>
      <c r="G78" s="75">
        <v>0</v>
      </c>
      <c r="H78" s="75">
        <v>0</v>
      </c>
      <c r="I78" s="75">
        <v>0</v>
      </c>
      <c r="J78" s="75">
        <v>0</v>
      </c>
      <c r="K78" s="75">
        <v>0</v>
      </c>
      <c r="L78" s="75">
        <v>0</v>
      </c>
      <c r="M78" s="75">
        <v>0</v>
      </c>
      <c r="N78" s="75">
        <v>0.03</v>
      </c>
      <c r="O78" s="75">
        <v>0.03</v>
      </c>
      <c r="P78" s="75">
        <v>0.03</v>
      </c>
      <c r="Q78" s="75">
        <v>0.03</v>
      </c>
      <c r="R78" s="75">
        <v>0.03</v>
      </c>
      <c r="S78" s="75">
        <v>0.03</v>
      </c>
      <c r="T78" s="75">
        <v>0.03</v>
      </c>
      <c r="U78" s="221" t="s">
        <v>154</v>
      </c>
      <c r="V78" s="6"/>
      <c r="W78"/>
      <c r="X78"/>
      <c r="Y78"/>
      <c r="Z78"/>
      <c r="AA78"/>
      <c r="AB78"/>
    </row>
    <row r="79" spans="1:41" ht="15.5" customHeight="1" x14ac:dyDescent="0.25">
      <c r="A79"/>
      <c r="B79" s="72" t="s">
        <v>155</v>
      </c>
      <c r="C79" s="31" t="s">
        <v>33</v>
      </c>
      <c r="D79" s="84">
        <f t="shared" ref="D79:S79" si="15">D75*D76*D77*D78</f>
        <v>0</v>
      </c>
      <c r="E79" s="84">
        <f t="shared" si="15"/>
        <v>0</v>
      </c>
      <c r="F79" s="84">
        <f t="shared" si="15"/>
        <v>0</v>
      </c>
      <c r="G79" s="84">
        <f t="shared" si="15"/>
        <v>0</v>
      </c>
      <c r="H79" s="84">
        <f t="shared" si="15"/>
        <v>0</v>
      </c>
      <c r="I79" s="84">
        <f t="shared" si="15"/>
        <v>0</v>
      </c>
      <c r="J79" s="84">
        <f t="shared" si="15"/>
        <v>0</v>
      </c>
      <c r="K79" s="84">
        <f t="shared" si="15"/>
        <v>0</v>
      </c>
      <c r="L79" s="84">
        <f t="shared" si="15"/>
        <v>0</v>
      </c>
      <c r="M79" s="84">
        <f t="shared" si="15"/>
        <v>0</v>
      </c>
      <c r="N79" s="84">
        <f t="shared" si="15"/>
        <v>34875</v>
      </c>
      <c r="O79" s="84">
        <f t="shared" si="15"/>
        <v>141750</v>
      </c>
      <c r="P79" s="84">
        <f t="shared" si="15"/>
        <v>1517400</v>
      </c>
      <c r="Q79" s="84">
        <f t="shared" si="15"/>
        <v>3005100</v>
      </c>
      <c r="R79" s="84">
        <f t="shared" si="15"/>
        <v>3264300</v>
      </c>
      <c r="S79" s="84">
        <f t="shared" si="15"/>
        <v>3596400</v>
      </c>
      <c r="T79" s="84">
        <f>(IF(T53=0,T54*12,T54*(1+T53)*(1-(1+T53)^-12)/T53)*T56+IF(T61=0,T62*12,T62*(1+T61)*(1-(1+T61)^-12)/T61)*T63*T64)*T72*T74*T76*T77*T78</f>
        <v>74268096.507261142</v>
      </c>
      <c r="U79" s="6"/>
      <c r="V79" s="6"/>
      <c r="W79"/>
      <c r="X79"/>
      <c r="Y79"/>
      <c r="Z79"/>
      <c r="AA79"/>
      <c r="AB79"/>
    </row>
    <row r="80" spans="1:41" ht="15.5" customHeight="1" x14ac:dyDescent="0.25">
      <c r="A80" s="22"/>
      <c r="B80" s="90"/>
      <c r="C80" s="31"/>
      <c r="D80" s="22"/>
      <c r="E80" s="22"/>
      <c r="F80" s="22"/>
      <c r="G80" s="22"/>
      <c r="H80" s="22"/>
      <c r="I80" s="22"/>
      <c r="J80" s="22"/>
      <c r="K80" s="22"/>
      <c r="L80" s="22"/>
      <c r="M80" s="22"/>
      <c r="N80" s="22"/>
      <c r="O80" s="22"/>
      <c r="P80" s="22"/>
      <c r="Q80" s="22"/>
      <c r="R80" s="22"/>
      <c r="S80" s="22"/>
      <c r="T80" s="22"/>
      <c r="U80" s="46"/>
      <c r="V80" s="46"/>
      <c r="W80" s="22"/>
      <c r="X80" s="22"/>
      <c r="Y80" s="22"/>
      <c r="Z80" s="22"/>
      <c r="AA80" s="22"/>
      <c r="AB80" s="22"/>
      <c r="AC80" s="22"/>
      <c r="AD80" s="22"/>
      <c r="AE80" s="22"/>
      <c r="AF80" s="22"/>
      <c r="AG80" s="22"/>
      <c r="AH80" s="22"/>
      <c r="AI80" s="22"/>
      <c r="AJ80" s="22"/>
      <c r="AK80" s="22"/>
      <c r="AL80" s="22"/>
      <c r="AM80" s="22"/>
      <c r="AN80" s="22"/>
      <c r="AO80" s="22"/>
    </row>
    <row r="81" spans="1:41" ht="15.5" customHeight="1" x14ac:dyDescent="0.25">
      <c r="A81" s="22"/>
      <c r="B81" s="71" t="s">
        <v>168</v>
      </c>
      <c r="C81" s="60"/>
      <c r="D81" s="61"/>
      <c r="E81" s="61"/>
      <c r="F81" s="61"/>
      <c r="G81" s="61"/>
      <c r="H81" s="61"/>
      <c r="I81" s="61"/>
      <c r="J81" s="61"/>
      <c r="K81" s="61"/>
      <c r="L81" s="61"/>
      <c r="M81" s="61"/>
      <c r="N81" s="61"/>
      <c r="O81" s="61"/>
      <c r="P81" s="61"/>
      <c r="Q81" s="61"/>
      <c r="R81" s="61"/>
      <c r="S81" s="61"/>
      <c r="T81" s="61"/>
      <c r="U81" s="216"/>
      <c r="V81" s="216"/>
      <c r="W81" s="61"/>
      <c r="X81" s="61"/>
      <c r="Y81" s="61"/>
      <c r="Z81" s="61"/>
      <c r="AA81" s="22"/>
      <c r="AB81" s="22"/>
      <c r="AC81" s="22"/>
      <c r="AD81" s="22"/>
      <c r="AE81" s="22"/>
      <c r="AF81" s="22"/>
      <c r="AG81" s="22"/>
      <c r="AH81" s="22"/>
      <c r="AI81" s="22"/>
      <c r="AJ81" s="22"/>
      <c r="AK81" s="22"/>
      <c r="AL81" s="22"/>
      <c r="AM81" s="22"/>
      <c r="AN81" s="22"/>
      <c r="AO81" s="22"/>
    </row>
    <row r="82" spans="1:41" ht="15.5" customHeight="1" x14ac:dyDescent="0.25">
      <c r="A82"/>
      <c r="B82" s="1"/>
      <c r="C82" s="31"/>
      <c r="D82"/>
      <c r="E82"/>
      <c r="F82"/>
      <c r="G82"/>
      <c r="H82"/>
      <c r="I82"/>
      <c r="J82"/>
      <c r="K82"/>
      <c r="L82"/>
      <c r="M82"/>
      <c r="N82"/>
      <c r="O82"/>
      <c r="P82"/>
      <c r="Q82"/>
      <c r="R82"/>
      <c r="S82"/>
      <c r="T82"/>
      <c r="U82" s="6"/>
      <c r="V82" s="6"/>
      <c r="W82"/>
      <c r="X82"/>
      <c r="Y82"/>
      <c r="Z82"/>
      <c r="AA82"/>
      <c r="AB82"/>
    </row>
    <row r="83" spans="1:41" ht="15.5" customHeight="1" x14ac:dyDescent="0.25">
      <c r="A83"/>
      <c r="B83" s="78" t="s">
        <v>114</v>
      </c>
      <c r="C83" s="31"/>
      <c r="D83" s="79"/>
      <c r="E83" s="79"/>
      <c r="F83" s="79"/>
      <c r="G83" s="79"/>
      <c r="H83" s="79"/>
      <c r="I83" s="79"/>
      <c r="J83" s="79"/>
      <c r="K83" s="79"/>
      <c r="L83" s="79"/>
      <c r="M83" s="79"/>
      <c r="N83" s="79"/>
      <c r="O83" s="79"/>
      <c r="P83" s="79"/>
      <c r="Q83" s="79"/>
      <c r="R83" s="79"/>
      <c r="S83" s="79"/>
      <c r="T83" s="79"/>
      <c r="U83" s="6"/>
      <c r="V83" s="6"/>
      <c r="W83"/>
      <c r="X83"/>
      <c r="Y83"/>
      <c r="Z83"/>
      <c r="AA83"/>
      <c r="AB83"/>
    </row>
    <row r="84" spans="1:41" ht="15.5" customHeight="1" x14ac:dyDescent="0.25">
      <c r="A84"/>
      <c r="B84" s="80" t="s">
        <v>115</v>
      </c>
      <c r="C84" s="31"/>
      <c r="D84" s="79" t="s">
        <v>16</v>
      </c>
      <c r="E84" s="79" t="s">
        <v>17</v>
      </c>
      <c r="F84" s="79" t="s">
        <v>18</v>
      </c>
      <c r="G84" s="79" t="s">
        <v>19</v>
      </c>
      <c r="H84" s="79" t="s">
        <v>20</v>
      </c>
      <c r="I84" s="79" t="s">
        <v>21</v>
      </c>
      <c r="J84" s="88" t="s">
        <v>22</v>
      </c>
      <c r="K84" s="79" t="s">
        <v>23</v>
      </c>
      <c r="L84" s="79" t="s">
        <v>24</v>
      </c>
      <c r="M84" s="79" t="s">
        <v>25</v>
      </c>
      <c r="N84" s="79" t="s">
        <v>26</v>
      </c>
      <c r="O84" s="79" t="s">
        <v>27</v>
      </c>
      <c r="P84" s="79" t="s">
        <v>28</v>
      </c>
      <c r="Q84" s="79" t="s">
        <v>29</v>
      </c>
      <c r="R84" s="79" t="s">
        <v>30</v>
      </c>
      <c r="S84" s="79" t="s">
        <v>31</v>
      </c>
      <c r="T84" s="79" t="s">
        <v>32</v>
      </c>
      <c r="U84" s="6"/>
      <c r="V84" s="6"/>
      <c r="W84"/>
      <c r="X84"/>
      <c r="Y84"/>
      <c r="Z84"/>
      <c r="AA84"/>
      <c r="AB84"/>
    </row>
    <row r="85" spans="1:41" ht="15.5" customHeight="1" x14ac:dyDescent="0.25">
      <c r="A85"/>
      <c r="B85" s="72" t="s">
        <v>116</v>
      </c>
      <c r="C85" s="31" t="s">
        <v>15</v>
      </c>
      <c r="D85" s="86">
        <v>0</v>
      </c>
      <c r="E85" s="86">
        <v>0</v>
      </c>
      <c r="F85" s="86">
        <v>0</v>
      </c>
      <c r="G85" s="86">
        <v>0</v>
      </c>
      <c r="H85" s="86">
        <v>0</v>
      </c>
      <c r="I85" s="86">
        <v>0</v>
      </c>
      <c r="J85" s="86">
        <v>0</v>
      </c>
      <c r="K85" s="86">
        <v>0</v>
      </c>
      <c r="L85" s="86">
        <v>0</v>
      </c>
      <c r="M85" s="86">
        <v>0</v>
      </c>
      <c r="N85" s="86">
        <v>0</v>
      </c>
      <c r="O85" s="86">
        <v>0</v>
      </c>
      <c r="P85" s="86">
        <v>0</v>
      </c>
      <c r="Q85" s="86">
        <v>0</v>
      </c>
      <c r="R85" s="86">
        <v>0</v>
      </c>
      <c r="S85" s="86">
        <v>0</v>
      </c>
      <c r="T85" s="86">
        <v>0.1</v>
      </c>
      <c r="U85" s="222" t="s">
        <v>169</v>
      </c>
      <c r="V85" s="6"/>
      <c r="W85"/>
      <c r="X85"/>
      <c r="Y85"/>
      <c r="Z85"/>
      <c r="AA85"/>
      <c r="AB85"/>
    </row>
    <row r="86" spans="1:41" ht="15.5" customHeight="1" x14ac:dyDescent="0.25">
      <c r="A86"/>
      <c r="B86" s="72" t="s">
        <v>118</v>
      </c>
      <c r="C86" s="89" t="s">
        <v>119</v>
      </c>
      <c r="D86" s="108">
        <v>0</v>
      </c>
      <c r="E86" s="108">
        <v>0</v>
      </c>
      <c r="F86" s="108">
        <v>0</v>
      </c>
      <c r="G86" s="108">
        <v>0</v>
      </c>
      <c r="H86" s="108">
        <v>0</v>
      </c>
      <c r="I86" s="108">
        <v>0</v>
      </c>
      <c r="J86" s="108">
        <v>0</v>
      </c>
      <c r="K86" s="108">
        <v>0</v>
      </c>
      <c r="L86" s="108">
        <v>0</v>
      </c>
      <c r="M86" s="108">
        <v>0</v>
      </c>
      <c r="N86" s="108">
        <v>0</v>
      </c>
      <c r="O86" s="112">
        <v>0</v>
      </c>
      <c r="P86" s="112">
        <v>0</v>
      </c>
      <c r="Q86" s="111">
        <v>0</v>
      </c>
      <c r="R86" s="111">
        <v>0</v>
      </c>
      <c r="S86" s="112">
        <v>0</v>
      </c>
      <c r="T86" s="111">
        <v>10</v>
      </c>
      <c r="U86" s="6"/>
      <c r="V86" s="6"/>
      <c r="W86"/>
      <c r="X86"/>
      <c r="Y86"/>
      <c r="Z86"/>
      <c r="AA86"/>
      <c r="AB86"/>
    </row>
    <row r="87" spans="1:41" ht="15.5" customHeight="1" x14ac:dyDescent="0.25">
      <c r="A87"/>
      <c r="B87" s="72" t="s">
        <v>121</v>
      </c>
      <c r="C87" s="45" t="s">
        <v>15</v>
      </c>
      <c r="D87" s="75">
        <v>0</v>
      </c>
      <c r="E87" s="75">
        <v>0</v>
      </c>
      <c r="F87" s="75">
        <v>0</v>
      </c>
      <c r="G87" s="75">
        <v>0</v>
      </c>
      <c r="H87" s="75">
        <v>0</v>
      </c>
      <c r="I87" s="75">
        <v>0</v>
      </c>
      <c r="J87" s="75">
        <v>0</v>
      </c>
      <c r="K87" s="75">
        <v>0</v>
      </c>
      <c r="L87" s="75">
        <v>0</v>
      </c>
      <c r="M87" s="75">
        <v>0</v>
      </c>
      <c r="N87" s="75">
        <v>0</v>
      </c>
      <c r="O87" s="75">
        <v>0</v>
      </c>
      <c r="P87" s="75">
        <v>0</v>
      </c>
      <c r="Q87" s="75">
        <v>0</v>
      </c>
      <c r="R87" s="75">
        <v>0</v>
      </c>
      <c r="S87" s="75">
        <v>0</v>
      </c>
      <c r="T87" s="75">
        <v>0.01</v>
      </c>
      <c r="U87" s="221" t="s">
        <v>158</v>
      </c>
      <c r="V87" s="6"/>
      <c r="W87"/>
      <c r="X87"/>
      <c r="Y87"/>
      <c r="Z87"/>
      <c r="AA87"/>
      <c r="AB87"/>
    </row>
    <row r="88" spans="1:41" ht="15.5" customHeight="1" x14ac:dyDescent="0.25">
      <c r="A88"/>
      <c r="B88" s="72" t="s">
        <v>123</v>
      </c>
      <c r="C88" s="82" t="s">
        <v>124</v>
      </c>
      <c r="D88" s="83">
        <v>0</v>
      </c>
      <c r="E88" s="83">
        <v>0</v>
      </c>
      <c r="F88" s="83">
        <v>0</v>
      </c>
      <c r="G88" s="83">
        <v>0</v>
      </c>
      <c r="H88" s="83">
        <v>0</v>
      </c>
      <c r="I88" s="83">
        <v>0</v>
      </c>
      <c r="J88" s="83">
        <v>0</v>
      </c>
      <c r="K88" s="83">
        <v>0</v>
      </c>
      <c r="L88" s="83">
        <v>0</v>
      </c>
      <c r="M88" s="83">
        <v>0</v>
      </c>
      <c r="N88" s="83">
        <v>0</v>
      </c>
      <c r="O88" s="83">
        <v>0</v>
      </c>
      <c r="P88" s="83">
        <v>0</v>
      </c>
      <c r="Q88" s="83">
        <v>0</v>
      </c>
      <c r="R88" s="83">
        <v>0</v>
      </c>
      <c r="S88" s="83">
        <v>0</v>
      </c>
      <c r="T88" s="83">
        <v>50000</v>
      </c>
      <c r="U88" s="221" t="s">
        <v>159</v>
      </c>
      <c r="V88" s="6"/>
      <c r="W88"/>
      <c r="X88"/>
      <c r="Y88"/>
      <c r="Z88"/>
      <c r="AA88"/>
      <c r="AB88"/>
    </row>
    <row r="89" spans="1:41" ht="15.5" customHeight="1" x14ac:dyDescent="0.25">
      <c r="A89"/>
      <c r="B89" s="72" t="s">
        <v>126</v>
      </c>
      <c r="C89" s="31" t="s">
        <v>127</v>
      </c>
      <c r="D89" s="83">
        <v>0</v>
      </c>
      <c r="E89" s="83">
        <v>0</v>
      </c>
      <c r="F89" s="83">
        <v>0</v>
      </c>
      <c r="G89" s="83">
        <v>0</v>
      </c>
      <c r="H89" s="83">
        <v>0</v>
      </c>
      <c r="I89" s="83">
        <v>0</v>
      </c>
      <c r="J89" s="83">
        <v>0</v>
      </c>
      <c r="K89" s="83">
        <v>0</v>
      </c>
      <c r="L89" s="83">
        <v>0</v>
      </c>
      <c r="M89" s="83">
        <v>0</v>
      </c>
      <c r="N89" s="83">
        <v>0</v>
      </c>
      <c r="O89" s="83">
        <v>0</v>
      </c>
      <c r="P89" s="83">
        <v>3</v>
      </c>
      <c r="Q89" s="83">
        <v>3</v>
      </c>
      <c r="R89" s="83">
        <v>3</v>
      </c>
      <c r="S89" s="83">
        <v>3</v>
      </c>
      <c r="T89" s="83">
        <v>3</v>
      </c>
      <c r="U89" s="222" t="s">
        <v>128</v>
      </c>
      <c r="V89" s="6"/>
      <c r="W89"/>
      <c r="X89"/>
      <c r="Y89"/>
      <c r="Z89"/>
      <c r="AA89"/>
      <c r="AB89"/>
    </row>
    <row r="90" spans="1:41" ht="15.5" customHeight="1" x14ac:dyDescent="0.25">
      <c r="A90"/>
      <c r="B90" s="72" t="s">
        <v>129</v>
      </c>
      <c r="C90" s="89" t="s">
        <v>33</v>
      </c>
      <c r="D90" s="84">
        <f t="shared" ref="D90:T90" si="16">D86*D87*D88*D89</f>
        <v>0</v>
      </c>
      <c r="E90" s="84">
        <f t="shared" si="16"/>
        <v>0</v>
      </c>
      <c r="F90" s="84">
        <f t="shared" si="16"/>
        <v>0</v>
      </c>
      <c r="G90" s="84">
        <f t="shared" si="16"/>
        <v>0</v>
      </c>
      <c r="H90" s="84">
        <f t="shared" si="16"/>
        <v>0</v>
      </c>
      <c r="I90" s="84">
        <f t="shared" si="16"/>
        <v>0</v>
      </c>
      <c r="J90" s="84">
        <f t="shared" si="16"/>
        <v>0</v>
      </c>
      <c r="K90" s="84">
        <f t="shared" si="16"/>
        <v>0</v>
      </c>
      <c r="L90" s="84">
        <f t="shared" si="16"/>
        <v>0</v>
      </c>
      <c r="M90" s="84">
        <f t="shared" si="16"/>
        <v>0</v>
      </c>
      <c r="N90" s="84">
        <f t="shared" si="16"/>
        <v>0</v>
      </c>
      <c r="O90" s="84">
        <f t="shared" si="16"/>
        <v>0</v>
      </c>
      <c r="P90" s="84">
        <f t="shared" si="16"/>
        <v>0</v>
      </c>
      <c r="Q90" s="84">
        <f t="shared" si="16"/>
        <v>0</v>
      </c>
      <c r="R90" s="84">
        <f t="shared" si="16"/>
        <v>0</v>
      </c>
      <c r="S90" s="84">
        <f t="shared" si="16"/>
        <v>0</v>
      </c>
      <c r="T90" s="84">
        <f t="shared" si="16"/>
        <v>15000</v>
      </c>
      <c r="U90" s="6"/>
      <c r="V90" s="6"/>
      <c r="W90"/>
      <c r="X90"/>
      <c r="Y90"/>
      <c r="Z90"/>
      <c r="AA90"/>
      <c r="AB90"/>
    </row>
    <row r="91" spans="1:41" ht="15.5" customHeight="1" x14ac:dyDescent="0.25">
      <c r="A91"/>
      <c r="B91" s="72"/>
      <c r="C91"/>
      <c r="D91" s="34"/>
      <c r="E91" s="34"/>
      <c r="F91" s="34"/>
      <c r="G91" s="34"/>
      <c r="H91" s="34"/>
      <c r="I91" s="34"/>
      <c r="J91" s="34"/>
      <c r="K91" s="34"/>
      <c r="L91" s="34"/>
      <c r="M91" s="34"/>
      <c r="N91" s="34"/>
      <c r="O91" s="34"/>
      <c r="P91" s="34"/>
      <c r="Q91" s="34"/>
      <c r="R91" s="34"/>
      <c r="S91" s="34"/>
      <c r="T91" s="34"/>
      <c r="U91" s="6"/>
      <c r="V91" s="6"/>
      <c r="W91"/>
      <c r="X91"/>
      <c r="Y91"/>
      <c r="Z91"/>
      <c r="AA91"/>
      <c r="AB91"/>
    </row>
    <row r="92" spans="1:41" ht="15.5" customHeight="1" x14ac:dyDescent="0.25">
      <c r="A92"/>
      <c r="B92" s="80" t="s">
        <v>130</v>
      </c>
      <c r="C92" s="31"/>
      <c r="D92" s="79" t="s">
        <v>16</v>
      </c>
      <c r="E92" s="79" t="s">
        <v>17</v>
      </c>
      <c r="F92" s="79" t="s">
        <v>18</v>
      </c>
      <c r="G92" s="79" t="s">
        <v>19</v>
      </c>
      <c r="H92" s="79" t="s">
        <v>20</v>
      </c>
      <c r="I92" s="79" t="s">
        <v>21</v>
      </c>
      <c r="J92" s="79" t="s">
        <v>22</v>
      </c>
      <c r="K92" s="79" t="s">
        <v>23</v>
      </c>
      <c r="L92" s="79" t="s">
        <v>24</v>
      </c>
      <c r="M92" s="79" t="s">
        <v>25</v>
      </c>
      <c r="N92" s="79" t="s">
        <v>26</v>
      </c>
      <c r="O92" s="79" t="s">
        <v>27</v>
      </c>
      <c r="P92" s="79" t="s">
        <v>28</v>
      </c>
      <c r="Q92" s="79" t="s">
        <v>29</v>
      </c>
      <c r="R92" s="79" t="s">
        <v>30</v>
      </c>
      <c r="S92" s="79" t="s">
        <v>31</v>
      </c>
      <c r="T92" s="79" t="s">
        <v>32</v>
      </c>
      <c r="U92" s="6"/>
      <c r="V92" s="6"/>
      <c r="W92"/>
      <c r="X92"/>
      <c r="Y92"/>
      <c r="Z92"/>
      <c r="AA92"/>
      <c r="AB92"/>
    </row>
    <row r="93" spans="1:41" ht="15.5" customHeight="1" x14ac:dyDescent="0.25">
      <c r="A93"/>
      <c r="B93" s="72" t="s">
        <v>116</v>
      </c>
      <c r="C93" s="31" t="s">
        <v>15</v>
      </c>
      <c r="D93" s="86">
        <v>0</v>
      </c>
      <c r="E93" s="86">
        <v>0</v>
      </c>
      <c r="F93" s="86">
        <v>0</v>
      </c>
      <c r="G93" s="86">
        <v>0</v>
      </c>
      <c r="H93" s="86">
        <v>0</v>
      </c>
      <c r="I93" s="86">
        <v>0</v>
      </c>
      <c r="J93" s="86">
        <v>0</v>
      </c>
      <c r="K93" s="86">
        <v>0</v>
      </c>
      <c r="L93" s="86">
        <v>0</v>
      </c>
      <c r="M93" s="86">
        <v>0</v>
      </c>
      <c r="N93" s="86">
        <v>0</v>
      </c>
      <c r="O93" s="86">
        <v>0</v>
      </c>
      <c r="P93" s="86">
        <v>0</v>
      </c>
      <c r="Q93" s="86">
        <v>0</v>
      </c>
      <c r="R93" s="86">
        <v>0</v>
      </c>
      <c r="S93" s="86">
        <v>0</v>
      </c>
      <c r="T93" s="86">
        <v>1</v>
      </c>
      <c r="U93" s="222" t="s">
        <v>170</v>
      </c>
      <c r="V93" s="6"/>
      <c r="W93"/>
      <c r="X93"/>
      <c r="Y93"/>
      <c r="Z93"/>
      <c r="AA93"/>
      <c r="AB93"/>
    </row>
    <row r="94" spans="1:41" ht="15.5" customHeight="1" x14ac:dyDescent="0.25">
      <c r="A94"/>
      <c r="B94" s="72" t="s">
        <v>131</v>
      </c>
      <c r="C94" s="31" t="s">
        <v>132</v>
      </c>
      <c r="D94" s="108">
        <v>0</v>
      </c>
      <c r="E94" s="108">
        <v>0</v>
      </c>
      <c r="F94" s="108">
        <v>0</v>
      </c>
      <c r="G94" s="108">
        <v>0</v>
      </c>
      <c r="H94" s="108">
        <v>0</v>
      </c>
      <c r="I94" s="108">
        <v>0</v>
      </c>
      <c r="J94" s="108">
        <v>0</v>
      </c>
      <c r="K94" s="108">
        <v>0</v>
      </c>
      <c r="L94" s="108">
        <v>0</v>
      </c>
      <c r="M94" s="108">
        <v>0</v>
      </c>
      <c r="N94" s="108">
        <v>0</v>
      </c>
      <c r="O94" s="111">
        <v>0</v>
      </c>
      <c r="P94" s="111">
        <v>0</v>
      </c>
      <c r="Q94" s="111">
        <v>0</v>
      </c>
      <c r="R94" s="111">
        <v>0</v>
      </c>
      <c r="S94" s="112">
        <v>0</v>
      </c>
      <c r="T94" s="112">
        <v>10</v>
      </c>
      <c r="U94" s="222" t="s">
        <v>171</v>
      </c>
      <c r="V94" s="6"/>
      <c r="W94"/>
      <c r="X94"/>
      <c r="Y94"/>
      <c r="Z94"/>
      <c r="AA94"/>
      <c r="AB94"/>
    </row>
    <row r="95" spans="1:41" ht="15.5" customHeight="1" x14ac:dyDescent="0.25">
      <c r="A95"/>
      <c r="B95" s="72" t="s">
        <v>133</v>
      </c>
      <c r="C95" s="31" t="s">
        <v>134</v>
      </c>
      <c r="D95" s="83">
        <v>0</v>
      </c>
      <c r="E95" s="83">
        <v>0</v>
      </c>
      <c r="F95" s="83">
        <v>0</v>
      </c>
      <c r="G95" s="83">
        <v>0</v>
      </c>
      <c r="H95" s="83">
        <v>0</v>
      </c>
      <c r="I95" s="83">
        <v>0</v>
      </c>
      <c r="J95" s="83">
        <v>0</v>
      </c>
      <c r="K95" s="83">
        <v>0</v>
      </c>
      <c r="L95" s="83">
        <v>0</v>
      </c>
      <c r="M95" s="83">
        <v>0</v>
      </c>
      <c r="N95" s="83">
        <v>0</v>
      </c>
      <c r="O95" s="83">
        <v>0</v>
      </c>
      <c r="P95" s="83">
        <v>0</v>
      </c>
      <c r="Q95" s="83">
        <v>0</v>
      </c>
      <c r="R95" s="83">
        <v>0</v>
      </c>
      <c r="S95" s="83">
        <v>0</v>
      </c>
      <c r="T95" s="83">
        <v>75000</v>
      </c>
      <c r="U95" s="222" t="s">
        <v>162</v>
      </c>
      <c r="V95" s="6"/>
      <c r="W95"/>
      <c r="X95"/>
      <c r="Y95"/>
      <c r="Z95"/>
      <c r="AA95"/>
      <c r="AB95"/>
    </row>
    <row r="96" spans="1:41" ht="15.5" customHeight="1" x14ac:dyDescent="0.25">
      <c r="A96"/>
      <c r="B96" s="72" t="s">
        <v>135</v>
      </c>
      <c r="C96" s="45" t="s">
        <v>15</v>
      </c>
      <c r="D96" s="75">
        <v>0</v>
      </c>
      <c r="E96" s="75">
        <v>0</v>
      </c>
      <c r="F96" s="75">
        <v>0</v>
      </c>
      <c r="G96" s="75">
        <v>0</v>
      </c>
      <c r="H96" s="75">
        <v>0</v>
      </c>
      <c r="I96" s="75">
        <v>0</v>
      </c>
      <c r="J96" s="75">
        <v>0</v>
      </c>
      <c r="K96" s="75">
        <v>0</v>
      </c>
      <c r="L96" s="75">
        <v>0</v>
      </c>
      <c r="M96" s="75">
        <v>0</v>
      </c>
      <c r="N96" s="75">
        <v>0</v>
      </c>
      <c r="O96" s="75">
        <v>0</v>
      </c>
      <c r="P96" s="75">
        <v>0</v>
      </c>
      <c r="Q96" s="75">
        <v>0</v>
      </c>
      <c r="R96" s="75">
        <v>0</v>
      </c>
      <c r="S96" s="75">
        <v>0</v>
      </c>
      <c r="T96" s="75">
        <v>0.2</v>
      </c>
      <c r="U96" s="221" t="s">
        <v>163</v>
      </c>
      <c r="V96" s="6"/>
      <c r="W96"/>
      <c r="X96"/>
      <c r="Y96"/>
      <c r="Z96"/>
      <c r="AA96"/>
      <c r="AB96"/>
    </row>
    <row r="97" spans="1:28" ht="15.5" customHeight="1" x14ac:dyDescent="0.25">
      <c r="A97"/>
      <c r="B97" s="85" t="s">
        <v>136</v>
      </c>
      <c r="C97" s="31" t="s">
        <v>137</v>
      </c>
      <c r="D97" s="84">
        <f t="shared" ref="D97:T97" si="17">D94*D95*D96</f>
        <v>0</v>
      </c>
      <c r="E97" s="84">
        <f t="shared" si="17"/>
        <v>0</v>
      </c>
      <c r="F97" s="84">
        <f t="shared" si="17"/>
        <v>0</v>
      </c>
      <c r="G97" s="84">
        <f t="shared" si="17"/>
        <v>0</v>
      </c>
      <c r="H97" s="84">
        <f t="shared" si="17"/>
        <v>0</v>
      </c>
      <c r="I97" s="84">
        <f t="shared" si="17"/>
        <v>0</v>
      </c>
      <c r="J97" s="84">
        <f t="shared" si="17"/>
        <v>0</v>
      </c>
      <c r="K97" s="84">
        <f t="shared" si="17"/>
        <v>0</v>
      </c>
      <c r="L97" s="84">
        <f t="shared" si="17"/>
        <v>0</v>
      </c>
      <c r="M97" s="84">
        <f t="shared" si="17"/>
        <v>0</v>
      </c>
      <c r="N97" s="84">
        <f t="shared" si="17"/>
        <v>0</v>
      </c>
      <c r="O97" s="84">
        <f t="shared" si="17"/>
        <v>0</v>
      </c>
      <c r="P97" s="84">
        <f t="shared" si="17"/>
        <v>0</v>
      </c>
      <c r="Q97" s="84">
        <f t="shared" si="17"/>
        <v>0</v>
      </c>
      <c r="R97" s="84">
        <f t="shared" si="17"/>
        <v>0</v>
      </c>
      <c r="S97" s="84">
        <f t="shared" si="17"/>
        <v>0</v>
      </c>
      <c r="T97" s="84">
        <f t="shared" si="17"/>
        <v>150000</v>
      </c>
      <c r="U97" s="6"/>
      <c r="V97" s="6"/>
      <c r="W97"/>
      <c r="X97"/>
      <c r="Y97"/>
      <c r="Z97"/>
      <c r="AA97"/>
      <c r="AB97"/>
    </row>
    <row r="98" spans="1:28" ht="15.5" customHeight="1" x14ac:dyDescent="0.25">
      <c r="A98"/>
      <c r="B98" s="72" t="s">
        <v>138</v>
      </c>
      <c r="C98" s="31" t="s">
        <v>15</v>
      </c>
      <c r="D98" s="75">
        <v>0</v>
      </c>
      <c r="E98" s="75">
        <v>0</v>
      </c>
      <c r="F98" s="75">
        <v>0</v>
      </c>
      <c r="G98" s="75">
        <v>0</v>
      </c>
      <c r="H98" s="75">
        <v>0</v>
      </c>
      <c r="I98" s="75">
        <v>0</v>
      </c>
      <c r="J98" s="75">
        <v>0</v>
      </c>
      <c r="K98" s="75">
        <v>0</v>
      </c>
      <c r="L98" s="75">
        <v>0</v>
      </c>
      <c r="M98" s="75">
        <v>0</v>
      </c>
      <c r="N98" s="75">
        <v>0</v>
      </c>
      <c r="O98" s="75">
        <v>0</v>
      </c>
      <c r="P98" s="75">
        <v>0</v>
      </c>
      <c r="Q98" s="86">
        <v>0.1</v>
      </c>
      <c r="R98" s="86">
        <v>0.1</v>
      </c>
      <c r="S98" s="86">
        <v>0.1</v>
      </c>
      <c r="T98" s="75">
        <v>0.1</v>
      </c>
      <c r="U98" s="223" t="s">
        <v>139</v>
      </c>
      <c r="V98" s="6"/>
      <c r="W98"/>
      <c r="X98"/>
      <c r="Y98"/>
      <c r="Z98"/>
      <c r="AA98"/>
      <c r="AB98"/>
    </row>
    <row r="99" spans="1:28" ht="15.5" customHeight="1" x14ac:dyDescent="0.25">
      <c r="A99"/>
      <c r="B99" s="72" t="s">
        <v>126</v>
      </c>
      <c r="C99" s="31" t="s">
        <v>127</v>
      </c>
      <c r="D99" s="83">
        <v>0</v>
      </c>
      <c r="E99" s="83">
        <v>0</v>
      </c>
      <c r="F99" s="83">
        <v>0</v>
      </c>
      <c r="G99" s="83">
        <v>0</v>
      </c>
      <c r="H99" s="83">
        <v>0</v>
      </c>
      <c r="I99" s="83">
        <v>0</v>
      </c>
      <c r="J99" s="83">
        <v>0</v>
      </c>
      <c r="K99" s="83">
        <v>0</v>
      </c>
      <c r="L99" s="83">
        <v>0</v>
      </c>
      <c r="M99" s="83">
        <v>0</v>
      </c>
      <c r="N99" s="83">
        <v>0</v>
      </c>
      <c r="O99" s="83">
        <v>0</v>
      </c>
      <c r="P99" s="83">
        <v>3</v>
      </c>
      <c r="Q99" s="83">
        <v>3</v>
      </c>
      <c r="R99" s="83">
        <v>3</v>
      </c>
      <c r="S99" s="83">
        <v>3</v>
      </c>
      <c r="T99" s="83">
        <v>3</v>
      </c>
      <c r="U99" s="222" t="s">
        <v>128</v>
      </c>
      <c r="V99" s="6"/>
      <c r="W99"/>
      <c r="X99"/>
      <c r="Y99"/>
      <c r="Z99"/>
      <c r="AA99"/>
      <c r="AB99"/>
    </row>
    <row r="100" spans="1:28" ht="15.5" customHeight="1" x14ac:dyDescent="0.25">
      <c r="A100"/>
      <c r="B100" s="72" t="s">
        <v>129</v>
      </c>
      <c r="C100" s="82" t="s">
        <v>33</v>
      </c>
      <c r="D100" s="84">
        <f t="shared" ref="D100:T100" si="18">PRODUCT(D97:D99)</f>
        <v>0</v>
      </c>
      <c r="E100" s="84">
        <f t="shared" si="18"/>
        <v>0</v>
      </c>
      <c r="F100" s="84">
        <f t="shared" si="18"/>
        <v>0</v>
      </c>
      <c r="G100" s="84">
        <f t="shared" si="18"/>
        <v>0</v>
      </c>
      <c r="H100" s="84">
        <f t="shared" si="18"/>
        <v>0</v>
      </c>
      <c r="I100" s="84">
        <f t="shared" si="18"/>
        <v>0</v>
      </c>
      <c r="J100" s="84">
        <f t="shared" si="18"/>
        <v>0</v>
      </c>
      <c r="K100" s="84">
        <f t="shared" si="18"/>
        <v>0</v>
      </c>
      <c r="L100" s="84">
        <f t="shared" si="18"/>
        <v>0</v>
      </c>
      <c r="M100" s="84">
        <f t="shared" si="18"/>
        <v>0</v>
      </c>
      <c r="N100" s="84">
        <f t="shared" si="18"/>
        <v>0</v>
      </c>
      <c r="O100" s="84">
        <f t="shared" si="18"/>
        <v>0</v>
      </c>
      <c r="P100" s="84">
        <f t="shared" si="18"/>
        <v>0</v>
      </c>
      <c r="Q100" s="84">
        <f t="shared" si="18"/>
        <v>0</v>
      </c>
      <c r="R100" s="84">
        <f t="shared" si="18"/>
        <v>0</v>
      </c>
      <c r="S100" s="84">
        <f t="shared" si="18"/>
        <v>0</v>
      </c>
      <c r="T100" s="84">
        <f t="shared" si="18"/>
        <v>45000</v>
      </c>
      <c r="U100" s="6"/>
      <c r="V100" s="6"/>
      <c r="W100"/>
      <c r="X100"/>
      <c r="Y100"/>
      <c r="Z100"/>
      <c r="AA100"/>
      <c r="AB100"/>
    </row>
    <row r="101" spans="1:28" ht="15.5" customHeight="1" x14ac:dyDescent="0.25">
      <c r="A101"/>
      <c r="B101" s="72"/>
      <c r="C101"/>
      <c r="D101"/>
      <c r="E101"/>
      <c r="F101"/>
      <c r="G101"/>
      <c r="H101"/>
      <c r="I101"/>
      <c r="J101"/>
      <c r="K101"/>
      <c r="L101"/>
      <c r="M101"/>
      <c r="N101"/>
      <c r="O101"/>
      <c r="P101"/>
      <c r="Q101"/>
      <c r="R101"/>
      <c r="S101"/>
      <c r="T101"/>
      <c r="U101" s="6"/>
      <c r="V101" s="6"/>
      <c r="W101"/>
      <c r="X101"/>
      <c r="Y101"/>
      <c r="Z101"/>
      <c r="AA101"/>
      <c r="AB101"/>
    </row>
    <row r="102" spans="1:28" ht="15.5" customHeight="1" x14ac:dyDescent="0.25">
      <c r="A102"/>
      <c r="B102" s="87" t="s">
        <v>140</v>
      </c>
      <c r="C102"/>
      <c r="D102" s="79" t="s">
        <v>16</v>
      </c>
      <c r="E102" s="79" t="s">
        <v>17</v>
      </c>
      <c r="F102" s="79" t="s">
        <v>18</v>
      </c>
      <c r="G102" s="79" t="s">
        <v>19</v>
      </c>
      <c r="H102" s="79" t="s">
        <v>20</v>
      </c>
      <c r="I102" s="79" t="s">
        <v>21</v>
      </c>
      <c r="J102" s="79" t="s">
        <v>22</v>
      </c>
      <c r="K102" s="79" t="s">
        <v>23</v>
      </c>
      <c r="L102" s="79" t="s">
        <v>24</v>
      </c>
      <c r="M102" s="79" t="s">
        <v>25</v>
      </c>
      <c r="N102" s="79" t="s">
        <v>26</v>
      </c>
      <c r="O102" s="79" t="s">
        <v>27</v>
      </c>
      <c r="P102" s="79" t="s">
        <v>28</v>
      </c>
      <c r="Q102" s="79" t="s">
        <v>29</v>
      </c>
      <c r="R102" s="79" t="s">
        <v>30</v>
      </c>
      <c r="S102" s="79" t="s">
        <v>31</v>
      </c>
      <c r="T102" s="79" t="s">
        <v>32</v>
      </c>
      <c r="U102" s="6"/>
      <c r="V102" s="6"/>
      <c r="W102"/>
      <c r="X102"/>
      <c r="Y102"/>
      <c r="Z102"/>
      <c r="AA102"/>
      <c r="AB102"/>
    </row>
    <row r="103" spans="1:28" ht="15.5" customHeight="1" x14ac:dyDescent="0.25">
      <c r="A103"/>
      <c r="B103" s="72" t="s">
        <v>141</v>
      </c>
      <c r="C103" s="31" t="s">
        <v>142</v>
      </c>
      <c r="D103" s="84">
        <f t="shared" ref="D103:T103" si="19">D86*D88+D94*D95*D96</f>
        <v>0</v>
      </c>
      <c r="E103" s="84">
        <f t="shared" si="19"/>
        <v>0</v>
      </c>
      <c r="F103" s="84">
        <f t="shared" si="19"/>
        <v>0</v>
      </c>
      <c r="G103" s="84">
        <f t="shared" si="19"/>
        <v>0</v>
      </c>
      <c r="H103" s="84">
        <f t="shared" si="19"/>
        <v>0</v>
      </c>
      <c r="I103" s="84">
        <f t="shared" si="19"/>
        <v>0</v>
      </c>
      <c r="J103" s="84">
        <f t="shared" si="19"/>
        <v>0</v>
      </c>
      <c r="K103" s="84">
        <f t="shared" si="19"/>
        <v>0</v>
      </c>
      <c r="L103" s="84">
        <f t="shared" si="19"/>
        <v>0</v>
      </c>
      <c r="M103" s="84">
        <f t="shared" si="19"/>
        <v>0</v>
      </c>
      <c r="N103" s="84">
        <f t="shared" si="19"/>
        <v>0</v>
      </c>
      <c r="O103" s="84">
        <f t="shared" si="19"/>
        <v>0</v>
      </c>
      <c r="P103" s="84">
        <f t="shared" si="19"/>
        <v>0</v>
      </c>
      <c r="Q103" s="84">
        <f t="shared" si="19"/>
        <v>0</v>
      </c>
      <c r="R103" s="84">
        <f t="shared" si="19"/>
        <v>0</v>
      </c>
      <c r="S103" s="84">
        <f t="shared" si="19"/>
        <v>0</v>
      </c>
      <c r="T103" s="84">
        <f t="shared" si="19"/>
        <v>650000</v>
      </c>
      <c r="U103" s="221" t="s">
        <v>172</v>
      </c>
      <c r="W103"/>
      <c r="X103"/>
      <c r="Y103"/>
      <c r="Z103"/>
      <c r="AA103"/>
      <c r="AB103"/>
    </row>
    <row r="104" spans="1:28" ht="15.5" customHeight="1" x14ac:dyDescent="0.25">
      <c r="A104"/>
      <c r="B104" s="72" t="s">
        <v>144</v>
      </c>
      <c r="C104" s="31" t="s">
        <v>145</v>
      </c>
      <c r="D104" s="83">
        <v>0</v>
      </c>
      <c r="E104" s="83">
        <v>0</v>
      </c>
      <c r="F104" s="83">
        <v>0</v>
      </c>
      <c r="G104" s="83">
        <v>0</v>
      </c>
      <c r="H104" s="83">
        <v>0</v>
      </c>
      <c r="I104" s="83">
        <v>0</v>
      </c>
      <c r="J104" s="83">
        <v>0</v>
      </c>
      <c r="K104" s="83">
        <v>0</v>
      </c>
      <c r="L104" s="83">
        <v>0</v>
      </c>
      <c r="M104" s="83">
        <v>0</v>
      </c>
      <c r="N104" s="83">
        <v>1</v>
      </c>
      <c r="O104" s="83">
        <v>1</v>
      </c>
      <c r="P104" s="83">
        <v>1</v>
      </c>
      <c r="Q104" s="83">
        <v>1</v>
      </c>
      <c r="R104" s="83">
        <v>2</v>
      </c>
      <c r="S104" s="83">
        <v>2</v>
      </c>
      <c r="T104" s="83">
        <v>3</v>
      </c>
      <c r="U104" s="6"/>
      <c r="V104" s="6"/>
      <c r="W104"/>
      <c r="X104"/>
      <c r="Y104"/>
      <c r="Z104"/>
      <c r="AA104"/>
      <c r="AB104"/>
    </row>
    <row r="105" spans="1:28" ht="15.5" customHeight="1" x14ac:dyDescent="0.25">
      <c r="A105"/>
      <c r="B105" s="72" t="s">
        <v>146</v>
      </c>
      <c r="C105" s="31" t="s">
        <v>142</v>
      </c>
      <c r="D105" s="84">
        <f t="shared" ref="D105:T105" si="20">D103*D104</f>
        <v>0</v>
      </c>
      <c r="E105" s="84">
        <f t="shared" si="20"/>
        <v>0</v>
      </c>
      <c r="F105" s="84">
        <f t="shared" si="20"/>
        <v>0</v>
      </c>
      <c r="G105" s="84">
        <f t="shared" si="20"/>
        <v>0</v>
      </c>
      <c r="H105" s="84">
        <f t="shared" si="20"/>
        <v>0</v>
      </c>
      <c r="I105" s="84">
        <f t="shared" si="20"/>
        <v>0</v>
      </c>
      <c r="J105" s="84">
        <f t="shared" si="20"/>
        <v>0</v>
      </c>
      <c r="K105" s="84">
        <f t="shared" si="20"/>
        <v>0</v>
      </c>
      <c r="L105" s="84">
        <f t="shared" si="20"/>
        <v>0</v>
      </c>
      <c r="M105" s="84">
        <f t="shared" si="20"/>
        <v>0</v>
      </c>
      <c r="N105" s="84">
        <f t="shared" si="20"/>
        <v>0</v>
      </c>
      <c r="O105" s="84">
        <f t="shared" si="20"/>
        <v>0</v>
      </c>
      <c r="P105" s="84">
        <f t="shared" si="20"/>
        <v>0</v>
      </c>
      <c r="Q105" s="84">
        <f t="shared" si="20"/>
        <v>0</v>
      </c>
      <c r="R105" s="84">
        <f t="shared" si="20"/>
        <v>0</v>
      </c>
      <c r="S105" s="84">
        <f t="shared" si="20"/>
        <v>0</v>
      </c>
      <c r="T105" s="84">
        <f t="shared" si="20"/>
        <v>1950000</v>
      </c>
      <c r="U105" s="6"/>
      <c r="V105" s="6"/>
      <c r="W105"/>
      <c r="X105"/>
      <c r="Y105"/>
      <c r="Z105"/>
      <c r="AA105"/>
      <c r="AB105"/>
    </row>
    <row r="106" spans="1:28" ht="15.5" customHeight="1" x14ac:dyDescent="0.25">
      <c r="A106"/>
      <c r="B106" s="72" t="s">
        <v>147</v>
      </c>
      <c r="C106" s="31" t="s">
        <v>15</v>
      </c>
      <c r="D106" s="75">
        <v>0</v>
      </c>
      <c r="E106" s="75">
        <v>0</v>
      </c>
      <c r="F106" s="75">
        <v>0</v>
      </c>
      <c r="G106" s="75">
        <v>0</v>
      </c>
      <c r="H106" s="75">
        <v>0</v>
      </c>
      <c r="I106" s="75">
        <v>0</v>
      </c>
      <c r="J106" s="75">
        <v>0</v>
      </c>
      <c r="K106" s="75">
        <v>0</v>
      </c>
      <c r="L106" s="75">
        <v>0</v>
      </c>
      <c r="M106" s="75">
        <v>0</v>
      </c>
      <c r="N106" s="75">
        <v>0.1</v>
      </c>
      <c r="O106" s="75">
        <v>0.12</v>
      </c>
      <c r="P106" s="75">
        <v>0.15</v>
      </c>
      <c r="Q106" s="75">
        <v>0.15</v>
      </c>
      <c r="R106" s="75">
        <v>0.18</v>
      </c>
      <c r="S106" s="75">
        <v>0.18</v>
      </c>
      <c r="T106" s="75">
        <v>0.18</v>
      </c>
      <c r="U106" s="131" t="s">
        <v>166</v>
      </c>
      <c r="V106" s="6"/>
      <c r="W106"/>
      <c r="X106"/>
      <c r="Y106"/>
      <c r="Z106"/>
      <c r="AA106"/>
      <c r="AB106"/>
    </row>
    <row r="107" spans="1:28" ht="15.5" customHeight="1" x14ac:dyDescent="0.25">
      <c r="A107"/>
      <c r="B107" s="72" t="s">
        <v>148</v>
      </c>
      <c r="C107" s="31" t="s">
        <v>149</v>
      </c>
      <c r="D107" s="84">
        <f t="shared" ref="D107:T107" si="21">D105*D106</f>
        <v>0</v>
      </c>
      <c r="E107" s="84">
        <f t="shared" si="21"/>
        <v>0</v>
      </c>
      <c r="F107" s="84">
        <f t="shared" si="21"/>
        <v>0</v>
      </c>
      <c r="G107" s="84">
        <f t="shared" si="21"/>
        <v>0</v>
      </c>
      <c r="H107" s="84">
        <f t="shared" si="21"/>
        <v>0</v>
      </c>
      <c r="I107" s="84">
        <f t="shared" si="21"/>
        <v>0</v>
      </c>
      <c r="J107" s="84">
        <f t="shared" si="21"/>
        <v>0</v>
      </c>
      <c r="K107" s="84">
        <f t="shared" si="21"/>
        <v>0</v>
      </c>
      <c r="L107" s="84">
        <f t="shared" si="21"/>
        <v>0</v>
      </c>
      <c r="M107" s="84">
        <f t="shared" si="21"/>
        <v>0</v>
      </c>
      <c r="N107" s="84">
        <f t="shared" si="21"/>
        <v>0</v>
      </c>
      <c r="O107" s="84">
        <f t="shared" si="21"/>
        <v>0</v>
      </c>
      <c r="P107" s="84">
        <f t="shared" si="21"/>
        <v>0</v>
      </c>
      <c r="Q107" s="84">
        <f t="shared" si="21"/>
        <v>0</v>
      </c>
      <c r="R107" s="84">
        <f t="shared" si="21"/>
        <v>0</v>
      </c>
      <c r="S107" s="84">
        <f t="shared" si="21"/>
        <v>0</v>
      </c>
      <c r="T107" s="84">
        <f t="shared" si="21"/>
        <v>351000</v>
      </c>
      <c r="U107" s="6"/>
      <c r="V107" s="6"/>
      <c r="W107"/>
      <c r="X107"/>
      <c r="Y107"/>
      <c r="Z107"/>
      <c r="AA107"/>
      <c r="AB107"/>
    </row>
    <row r="108" spans="1:28" ht="15.5" customHeight="1" x14ac:dyDescent="0.25">
      <c r="A108"/>
      <c r="B108" s="72" t="s">
        <v>150</v>
      </c>
      <c r="C108" s="31" t="s">
        <v>33</v>
      </c>
      <c r="D108" s="83">
        <v>0</v>
      </c>
      <c r="E108" s="83">
        <v>0</v>
      </c>
      <c r="F108" s="83">
        <v>0</v>
      </c>
      <c r="G108" s="83">
        <v>0</v>
      </c>
      <c r="H108" s="83">
        <v>0</v>
      </c>
      <c r="I108" s="83">
        <v>0</v>
      </c>
      <c r="J108" s="83">
        <v>0</v>
      </c>
      <c r="K108" s="83">
        <v>0</v>
      </c>
      <c r="L108" s="83">
        <v>0</v>
      </c>
      <c r="M108" s="83">
        <v>0</v>
      </c>
      <c r="N108" s="83">
        <v>17</v>
      </c>
      <c r="O108" s="83">
        <v>17</v>
      </c>
      <c r="P108" s="83">
        <v>17</v>
      </c>
      <c r="Q108" s="83">
        <v>17</v>
      </c>
      <c r="R108" s="83">
        <v>17</v>
      </c>
      <c r="S108" s="83">
        <v>17</v>
      </c>
      <c r="T108" s="83">
        <v>17</v>
      </c>
      <c r="U108" s="221" t="s">
        <v>173</v>
      </c>
      <c r="V108" s="6"/>
      <c r="W108"/>
      <c r="X108"/>
      <c r="Y108"/>
      <c r="Z108"/>
      <c r="AA108"/>
      <c r="AB108"/>
    </row>
    <row r="109" spans="1:28" ht="15.5" customHeight="1" x14ac:dyDescent="0.25">
      <c r="A109"/>
      <c r="B109" s="72" t="s">
        <v>151</v>
      </c>
      <c r="C109" s="31" t="s">
        <v>15</v>
      </c>
      <c r="D109" s="75">
        <v>0</v>
      </c>
      <c r="E109" s="75">
        <v>0</v>
      </c>
      <c r="F109" s="75">
        <v>0</v>
      </c>
      <c r="G109" s="75">
        <v>0</v>
      </c>
      <c r="H109" s="75">
        <v>0</v>
      </c>
      <c r="I109" s="75">
        <v>0</v>
      </c>
      <c r="J109" s="75">
        <v>0</v>
      </c>
      <c r="K109" s="75">
        <v>0</v>
      </c>
      <c r="L109" s="75">
        <v>0</v>
      </c>
      <c r="M109" s="75">
        <v>0</v>
      </c>
      <c r="N109" s="75">
        <v>1</v>
      </c>
      <c r="O109" s="75">
        <v>1</v>
      </c>
      <c r="P109" s="75">
        <v>1</v>
      </c>
      <c r="Q109" s="75">
        <v>1</v>
      </c>
      <c r="R109" s="75">
        <v>1</v>
      </c>
      <c r="S109" s="75">
        <v>1</v>
      </c>
      <c r="T109" s="75">
        <v>1</v>
      </c>
      <c r="U109" s="221" t="s">
        <v>154</v>
      </c>
      <c r="V109" s="6"/>
      <c r="W109"/>
      <c r="X109"/>
      <c r="Y109"/>
      <c r="Z109"/>
      <c r="AA109"/>
      <c r="AB109"/>
    </row>
    <row r="110" spans="1:28" ht="15.5" customHeight="1" x14ac:dyDescent="0.25">
      <c r="A110"/>
      <c r="B110" s="72" t="s">
        <v>153</v>
      </c>
      <c r="C110" s="31" t="s">
        <v>15</v>
      </c>
      <c r="D110" s="75">
        <v>0</v>
      </c>
      <c r="E110" s="75">
        <v>0</v>
      </c>
      <c r="F110" s="75">
        <v>0</v>
      </c>
      <c r="G110" s="75">
        <v>0</v>
      </c>
      <c r="H110" s="75">
        <v>0</v>
      </c>
      <c r="I110" s="75">
        <v>0</v>
      </c>
      <c r="J110" s="75">
        <v>0</v>
      </c>
      <c r="K110" s="75">
        <v>0</v>
      </c>
      <c r="L110" s="75">
        <v>0</v>
      </c>
      <c r="M110" s="75">
        <v>0</v>
      </c>
      <c r="N110" s="75">
        <v>0.03</v>
      </c>
      <c r="O110" s="75">
        <v>0.03</v>
      </c>
      <c r="P110" s="75">
        <v>0.03</v>
      </c>
      <c r="Q110" s="75">
        <v>0.03</v>
      </c>
      <c r="R110" s="75">
        <v>0.03</v>
      </c>
      <c r="S110" s="75">
        <v>0.03</v>
      </c>
      <c r="T110" s="75">
        <v>0.03</v>
      </c>
      <c r="U110" s="221" t="s">
        <v>154</v>
      </c>
      <c r="V110" s="6"/>
      <c r="W110"/>
      <c r="X110"/>
      <c r="Y110"/>
      <c r="Z110"/>
      <c r="AA110"/>
      <c r="AB110"/>
    </row>
    <row r="111" spans="1:28" ht="15.5" customHeight="1" x14ac:dyDescent="0.25">
      <c r="A111"/>
      <c r="B111" s="72" t="s">
        <v>155</v>
      </c>
      <c r="C111" s="31" t="s">
        <v>33</v>
      </c>
      <c r="D111" s="84">
        <f t="shared" ref="D111:T111" si="22">D107*D108*D109*D110</f>
        <v>0</v>
      </c>
      <c r="E111" s="84">
        <f t="shared" si="22"/>
        <v>0</v>
      </c>
      <c r="F111" s="84">
        <f t="shared" si="22"/>
        <v>0</v>
      </c>
      <c r="G111" s="84">
        <f t="shared" si="22"/>
        <v>0</v>
      </c>
      <c r="H111" s="84">
        <f t="shared" si="22"/>
        <v>0</v>
      </c>
      <c r="I111" s="84">
        <f t="shared" si="22"/>
        <v>0</v>
      </c>
      <c r="J111" s="84">
        <f t="shared" si="22"/>
        <v>0</v>
      </c>
      <c r="K111" s="84">
        <f t="shared" si="22"/>
        <v>0</v>
      </c>
      <c r="L111" s="84">
        <f t="shared" si="22"/>
        <v>0</v>
      </c>
      <c r="M111" s="84">
        <f t="shared" si="22"/>
        <v>0</v>
      </c>
      <c r="N111" s="84">
        <f t="shared" si="22"/>
        <v>0</v>
      </c>
      <c r="O111" s="84">
        <f t="shared" si="22"/>
        <v>0</v>
      </c>
      <c r="P111" s="84">
        <f t="shared" si="22"/>
        <v>0</v>
      </c>
      <c r="Q111" s="84">
        <f t="shared" si="22"/>
        <v>0</v>
      </c>
      <c r="R111" s="84">
        <f t="shared" si="22"/>
        <v>0</v>
      </c>
      <c r="S111" s="84">
        <f t="shared" si="22"/>
        <v>0</v>
      </c>
      <c r="T111" s="84">
        <f t="shared" si="22"/>
        <v>179010</v>
      </c>
      <c r="U111" s="6"/>
      <c r="V111" s="6"/>
      <c r="W111"/>
      <c r="X111"/>
      <c r="Y111"/>
      <c r="Z111"/>
      <c r="AA111"/>
      <c r="AB111"/>
    </row>
    <row r="112" spans="1:28" ht="15.5" customHeight="1" x14ac:dyDescent="0.25">
      <c r="A112"/>
      <c r="B112" s="72"/>
      <c r="C112" s="31"/>
      <c r="D112" s="34"/>
      <c r="E112" s="34"/>
      <c r="F112" s="34"/>
      <c r="G112" s="34"/>
      <c r="H112" s="34"/>
      <c r="I112" s="34"/>
      <c r="J112" s="34"/>
      <c r="K112" s="34"/>
      <c r="L112" s="34"/>
      <c r="M112" s="34"/>
      <c r="N112" s="34"/>
      <c r="O112" s="34"/>
      <c r="P112" s="34"/>
      <c r="Q112" s="34"/>
      <c r="R112" s="34"/>
      <c r="S112" s="34"/>
      <c r="T112" s="34"/>
      <c r="U112" s="6"/>
      <c r="V112" s="6"/>
      <c r="W112"/>
      <c r="X112"/>
      <c r="Y112"/>
      <c r="Z112"/>
      <c r="AA112"/>
      <c r="AB112"/>
    </row>
    <row r="113" spans="1:41" ht="15.5" customHeight="1" x14ac:dyDescent="0.25">
      <c r="A113" s="22"/>
      <c r="B113" s="71" t="s">
        <v>174</v>
      </c>
      <c r="C113" s="60"/>
      <c r="D113" s="61"/>
      <c r="E113" s="61"/>
      <c r="F113" s="61"/>
      <c r="G113" s="61"/>
      <c r="H113" s="61"/>
      <c r="I113" s="61"/>
      <c r="J113" s="61"/>
      <c r="K113" s="61"/>
      <c r="L113" s="61"/>
      <c r="M113" s="61"/>
      <c r="N113" s="61"/>
      <c r="O113" s="61"/>
      <c r="P113" s="61"/>
      <c r="Q113" s="61"/>
      <c r="R113" s="61"/>
      <c r="S113" s="61"/>
      <c r="T113" s="61"/>
      <c r="U113" s="216"/>
      <c r="V113" s="216"/>
      <c r="W113" s="61"/>
      <c r="X113" s="61"/>
      <c r="Y113" s="61"/>
      <c r="Z113" s="61"/>
      <c r="AA113" s="22"/>
      <c r="AB113" s="22"/>
      <c r="AC113" s="22"/>
      <c r="AD113" s="22"/>
      <c r="AE113" s="22"/>
      <c r="AF113" s="22"/>
      <c r="AG113" s="22"/>
      <c r="AH113" s="22"/>
      <c r="AI113" s="22"/>
      <c r="AJ113" s="22"/>
      <c r="AK113" s="22"/>
      <c r="AL113" s="22"/>
      <c r="AM113" s="22"/>
      <c r="AN113" s="22"/>
      <c r="AO113" s="22"/>
    </row>
    <row r="114" spans="1:41" ht="15.5" customHeight="1" x14ac:dyDescent="0.25">
      <c r="A114"/>
      <c r="B114" s="1"/>
      <c r="C114" s="31"/>
      <c r="D114"/>
      <c r="E114"/>
      <c r="F114"/>
      <c r="G114"/>
      <c r="H114"/>
      <c r="I114"/>
      <c r="J114"/>
      <c r="K114"/>
      <c r="L114"/>
      <c r="M114"/>
      <c r="N114"/>
      <c r="O114"/>
      <c r="P114"/>
      <c r="Q114"/>
      <c r="R114"/>
      <c r="S114"/>
      <c r="T114"/>
      <c r="U114" s="6"/>
      <c r="V114" s="6"/>
      <c r="W114"/>
      <c r="X114"/>
      <c r="Y114"/>
      <c r="Z114"/>
      <c r="AA114"/>
      <c r="AB114"/>
    </row>
    <row r="115" spans="1:41" ht="15.5" customHeight="1" x14ac:dyDescent="0.25">
      <c r="A115"/>
      <c r="B115" s="80" t="s">
        <v>175</v>
      </c>
      <c r="C115" s="31"/>
      <c r="D115" s="79" t="s">
        <v>16</v>
      </c>
      <c r="E115" s="79" t="s">
        <v>17</v>
      </c>
      <c r="F115" s="79" t="s">
        <v>18</v>
      </c>
      <c r="G115" s="79" t="s">
        <v>19</v>
      </c>
      <c r="H115" s="79" t="s">
        <v>20</v>
      </c>
      <c r="I115" s="79" t="s">
        <v>21</v>
      </c>
      <c r="J115" s="88" t="s">
        <v>22</v>
      </c>
      <c r="K115" s="79" t="s">
        <v>23</v>
      </c>
      <c r="L115" s="79" t="s">
        <v>24</v>
      </c>
      <c r="M115" s="79" t="s">
        <v>25</v>
      </c>
      <c r="N115" s="79" t="s">
        <v>26</v>
      </c>
      <c r="O115" s="79" t="s">
        <v>27</v>
      </c>
      <c r="P115" s="79" t="s">
        <v>28</v>
      </c>
      <c r="Q115" s="79" t="s">
        <v>29</v>
      </c>
      <c r="R115" s="79" t="s">
        <v>30</v>
      </c>
      <c r="S115" s="79" t="s">
        <v>31</v>
      </c>
      <c r="T115" s="79" t="s">
        <v>32</v>
      </c>
      <c r="U115" s="6"/>
      <c r="V115" s="6"/>
      <c r="W115"/>
      <c r="X115"/>
      <c r="Y115"/>
      <c r="Z115"/>
      <c r="AA115"/>
      <c r="AB115"/>
    </row>
    <row r="116" spans="1:41" ht="15.5" customHeight="1" x14ac:dyDescent="0.25">
      <c r="A116"/>
      <c r="B116" s="72" t="s">
        <v>176</v>
      </c>
      <c r="C116" s="31" t="s">
        <v>15</v>
      </c>
      <c r="D116" s="92">
        <v>0.33333333333333331</v>
      </c>
      <c r="E116" s="92">
        <v>0.33333333333333331</v>
      </c>
      <c r="F116" s="92">
        <v>0.33333333333333331</v>
      </c>
      <c r="G116" s="92">
        <v>0.33333333333333331</v>
      </c>
      <c r="H116" s="92">
        <v>0.33333333333333331</v>
      </c>
      <c r="I116" s="92">
        <v>0.33333333333333331</v>
      </c>
      <c r="J116" s="92">
        <v>0.33333333333333331</v>
      </c>
      <c r="K116" s="92">
        <v>0.33333333333333331</v>
      </c>
      <c r="L116" s="92">
        <v>0.33333333333333331</v>
      </c>
      <c r="M116" s="92">
        <v>0.33333333333333331</v>
      </c>
      <c r="N116" s="92">
        <v>0.33333333333333331</v>
      </c>
      <c r="O116" s="92">
        <v>0.33333333333333331</v>
      </c>
      <c r="P116" s="92">
        <v>0.33333333333333331</v>
      </c>
      <c r="Q116" s="92">
        <v>0.33333333333333331</v>
      </c>
      <c r="R116" s="92">
        <v>0.33333333333333331</v>
      </c>
      <c r="S116" s="92">
        <v>0.33333333333333331</v>
      </c>
      <c r="T116" s="92">
        <v>0.33333333333333331</v>
      </c>
      <c r="U116" s="221" t="s">
        <v>177</v>
      </c>
      <c r="V116" s="6"/>
      <c r="W116"/>
      <c r="X116"/>
      <c r="Y116"/>
      <c r="Z116"/>
      <c r="AA116"/>
      <c r="AB116"/>
    </row>
    <row r="117" spans="1:41" ht="15.5" customHeight="1" x14ac:dyDescent="0.25">
      <c r="A117"/>
      <c r="B117" s="72" t="s">
        <v>178</v>
      </c>
      <c r="C117" s="31" t="s">
        <v>33</v>
      </c>
      <c r="D117" s="93">
        <f>IF(SUM($D$47:$O$47,$D$79:$O$79,$D$111:$O$111)=0,0,'5Y – Cost Model'!$C$7*D47/SUM($D$47:$O$47,$D$79:$O$79,$D$111:$O$111)/2)</f>
        <v>0</v>
      </c>
      <c r="E117" s="93">
        <f>IF(SUM($D$47:$O$47,$D$79:$O$79,$D$111:$O$111)=0,0,'5Y – Cost Model'!$C$7*E47/SUM($D$47:$O$47,$D$79:$O$79,$D$111:$O$111)/2)</f>
        <v>0</v>
      </c>
      <c r="F117" s="93">
        <f>IF(SUM($D$47:$O$47,$D$79:$O$79,$D$111:$O$111)=0,0,'5Y – Cost Model'!$C$7*F47/SUM($D$47:$O$47,$D$79:$O$79,$D$111:$O$111)/2)</f>
        <v>0</v>
      </c>
      <c r="G117" s="93">
        <f>IF(SUM($D$47:$O$47,$D$79:$O$79,$D$111:$O$111)=0,0,'5Y – Cost Model'!$C$7*G47/SUM($D$47:$O$47,$D$79:$O$79,$D$111:$O$111)/2)</f>
        <v>0</v>
      </c>
      <c r="H117" s="93">
        <f>IF(SUM($D$47:$O$47,$D$79:$O$79,$D$111:$O$111)=0,0,'5Y – Cost Model'!$C$7*H47/SUM($D$47:$O$47,$D$79:$O$79,$D$111:$O$111)/2)</f>
        <v>0</v>
      </c>
      <c r="I117" s="93">
        <f>IF(SUM($D$47:$O$47,$D$79:$O$79,$D$111:$O$111)=0,0,'5Y – Cost Model'!$C$7*I47/SUM($D$47:$O$47,$D$79:$O$79,$D$111:$O$111)/2)</f>
        <v>0</v>
      </c>
      <c r="J117" s="93">
        <f>IF(SUM($D$47:$O$47,$D$79:$O$79,$D$111:$O$111)=0,0,'5Y – Cost Model'!$C$7*J47/SUM($D$47:$O$47,$D$79:$O$79,$D$111:$O$111)/2)</f>
        <v>0</v>
      </c>
      <c r="K117" s="93">
        <f>IF(SUM($D$47:$O$47,$D$79:$O$79,$D$111:$O$111)=0,0,'5Y – Cost Model'!$C$7*K47/SUM($D$47:$O$47,$D$79:$O$79,$D$111:$O$111)/2)</f>
        <v>0</v>
      </c>
      <c r="L117" s="93">
        <f>IF(SUM($D$47:$O$47,$D$79:$O$79,$D$111:$O$111)=0,0,'5Y – Cost Model'!$C$7*L47/SUM($D$47:$O$47,$D$79:$O$79,$D$111:$O$111)/2)</f>
        <v>0</v>
      </c>
      <c r="M117" s="93">
        <f>IF(SUM($D$47:$O$47,$D$79:$O$79,$D$111:$O$111)=0,0,'5Y – Cost Model'!$C$7*M47/SUM($D$47:$O$47,$D$79:$O$79,$D$111:$O$111)/2)</f>
        <v>0</v>
      </c>
      <c r="N117" s="93">
        <f>IF(SUM($D$47:$O$47,$D$79:$O$79,$D$111:$O$111)=0,0,'5Y – Cost Model'!$C$7*N47/SUM($D$47:$O$47,$D$79:$O$79,$D$111:$O$111)/2)</f>
        <v>0</v>
      </c>
      <c r="O117" s="93">
        <f>IF(SUM($D$47:$O$47,$D$79:$O$79,$D$111:$O$111)=0,0,'5Y – Cost Model'!$C$7*O47/SUM($D$47:$O$47,$D$79:$O$79,$D$111:$O$111)/2)</f>
        <v>431.25</v>
      </c>
      <c r="P117" s="93">
        <f>IF(SUM($P$47:$S$47,$P$79:$S$79,$P$111:$S$111)=0,0,'5Y – Cost Model'!$D$7*P47/SUM($P$47:$S$47,$P$79:$S$79,$P$111:$S$111)/2)</f>
        <v>4996.5243109745425</v>
      </c>
      <c r="Q117" s="93">
        <f>IF(SUM($P$47:$S$47,$P$79:$S$79,$P$111:$S$111)=0,0,'5Y – Cost Model'!$D$7*Q47/SUM($P$47:$S$47,$P$79:$S$79,$P$111:$S$111)/2)</f>
        <v>8698.8321337561028</v>
      </c>
      <c r="R117" s="93">
        <f>IF(SUM($P$47:$S$47,$P$79:$S$79,$P$111:$S$111)=0,0,'5Y – Cost Model'!$D$7*R47/SUM($P$47:$S$47,$P$79:$S$79,$P$111:$S$111)/2)</f>
        <v>11227.151229542938</v>
      </c>
      <c r="S117" s="93">
        <f>IF(SUM($P$47:$S$47,$P$79:$S$79,$P$111:$S$111)=0,0,'5Y – Cost Model'!$D$7*S47/SUM($P$47:$S$47,$P$79:$S$79,$P$111:$S$111)/2)</f>
        <v>14056.039728325411</v>
      </c>
      <c r="T117" s="93">
        <f>IF(SUM($T$47,$T$79,$T$111)=0,0,'5Y – Cost Model'!$E$7*T47/SUM($T$47,$T$79,$T$111)/2)</f>
        <v>10466.703546585515</v>
      </c>
      <c r="U117" s="6" t="s">
        <v>179</v>
      </c>
      <c r="V117" s="6"/>
      <c r="W117"/>
      <c r="X117"/>
      <c r="Y117"/>
      <c r="Z117"/>
      <c r="AA117"/>
      <c r="AB117"/>
    </row>
    <row r="118" spans="1:41" ht="15.5" customHeight="1" x14ac:dyDescent="0.25">
      <c r="A118"/>
      <c r="B118" s="72" t="s">
        <v>180</v>
      </c>
      <c r="C118" s="31" t="s">
        <v>15</v>
      </c>
      <c r="D118" s="92">
        <v>0.33333333333333331</v>
      </c>
      <c r="E118" s="92">
        <v>0.33333333333333331</v>
      </c>
      <c r="F118" s="92">
        <v>0.33333333333333331</v>
      </c>
      <c r="G118" s="92">
        <v>0.33333333333333331</v>
      </c>
      <c r="H118" s="92">
        <v>0.33333333333333331</v>
      </c>
      <c r="I118" s="92">
        <v>0.33333333333333331</v>
      </c>
      <c r="J118" s="92">
        <v>0.33333333333333331</v>
      </c>
      <c r="K118" s="92">
        <v>0.33333333333333331</v>
      </c>
      <c r="L118" s="92">
        <v>0.33333333333333331</v>
      </c>
      <c r="M118" s="92">
        <v>0.33333333333333331</v>
      </c>
      <c r="N118" s="92">
        <v>0.33333333333333331</v>
      </c>
      <c r="O118" s="92">
        <v>0.33333333333333331</v>
      </c>
      <c r="P118" s="92">
        <v>0.33333333333333331</v>
      </c>
      <c r="Q118" s="92">
        <v>0.33333333333333331</v>
      </c>
      <c r="R118" s="92">
        <v>0.33333333333333331</v>
      </c>
      <c r="S118" s="92">
        <v>0.33333333333333331</v>
      </c>
      <c r="T118" s="92">
        <v>0.33333333333333331</v>
      </c>
      <c r="U118" s="221" t="s">
        <v>177</v>
      </c>
      <c r="V118" s="6"/>
      <c r="W118"/>
      <c r="X118"/>
      <c r="Y118"/>
      <c r="Z118"/>
      <c r="AA118"/>
      <c r="AB118"/>
    </row>
    <row r="119" spans="1:41" ht="15.5" customHeight="1" x14ac:dyDescent="0.25">
      <c r="A119"/>
      <c r="B119" s="72" t="s">
        <v>181</v>
      </c>
      <c r="C119" s="31" t="s">
        <v>33</v>
      </c>
      <c r="D119" s="93">
        <f>IF(SUM($D$47:$O$47,$D$79:$O$79,$D$111:$O$111)=0,0,'5Y – Cost Model'!$C$7*D47/SUM($D$47:$O$47,$D$79:$O$79,$D$111:$O$111)/2)</f>
        <v>0</v>
      </c>
      <c r="E119" s="93">
        <f>IF(SUM($D$47:$O$47,$D$79:$O$79,$D$111:$O$111)=0,0,'5Y – Cost Model'!$C$7*E47/SUM($D$47:$O$47,$D$79:$O$79,$D$111:$O$111)/2)</f>
        <v>0</v>
      </c>
      <c r="F119" s="93">
        <f>IF(SUM($D$47:$O$47,$D$79:$O$79,$D$111:$O$111)=0,0,'5Y – Cost Model'!$C$7*F47/SUM($D$47:$O$47,$D$79:$O$79,$D$111:$O$111)/2)</f>
        <v>0</v>
      </c>
      <c r="G119" s="93">
        <f>IF(SUM($D$47:$O$47,$D$79:$O$79,$D$111:$O$111)=0,0,'5Y – Cost Model'!$C$7*G47/SUM($D$47:$O$47,$D$79:$O$79,$D$111:$O$111)/2)</f>
        <v>0</v>
      </c>
      <c r="H119" s="93">
        <f>IF(SUM($D$47:$O$47,$D$79:$O$79,$D$111:$O$111)=0,0,'5Y – Cost Model'!$C$7*H47/SUM($D$47:$O$47,$D$79:$O$79,$D$111:$O$111)/2)</f>
        <v>0</v>
      </c>
      <c r="I119" s="93">
        <f>IF(SUM($D$47:$O$47,$D$79:$O$79,$D$111:$O$111)=0,0,'5Y – Cost Model'!$C$7*I47/SUM($D$47:$O$47,$D$79:$O$79,$D$111:$O$111)/2)</f>
        <v>0</v>
      </c>
      <c r="J119" s="93">
        <f>IF(SUM($D$47:$O$47,$D$79:$O$79,$D$111:$O$111)=0,0,'5Y – Cost Model'!$C$7*J47/SUM($D$47:$O$47,$D$79:$O$79,$D$111:$O$111)/2)</f>
        <v>0</v>
      </c>
      <c r="K119" s="93">
        <f>IF(SUM($D$47:$O$47,$D$79:$O$79,$D$111:$O$111)=0,0,'5Y – Cost Model'!$C$7*K47/SUM($D$47:$O$47,$D$79:$O$79,$D$111:$O$111)/2)</f>
        <v>0</v>
      </c>
      <c r="L119" s="93">
        <f>IF(SUM($D$47:$O$47,$D$79:$O$79,$D$111:$O$111)=0,0,'5Y – Cost Model'!$C$7*L47/SUM($D$47:$O$47,$D$79:$O$79,$D$111:$O$111)/2)</f>
        <v>0</v>
      </c>
      <c r="M119" s="93">
        <f>IF(SUM($D$47:$O$47,$D$79:$O$79,$D$111:$O$111)=0,0,'5Y – Cost Model'!$C$7*M47/SUM($D$47:$O$47,$D$79:$O$79,$D$111:$O$111)/2)</f>
        <v>0</v>
      </c>
      <c r="N119" s="93">
        <f>IF(SUM($D$47:$O$47,$D$79:$O$79,$D$111:$O$111)=0,0,'5Y – Cost Model'!$C$7*N47/SUM($D$47:$O$47,$D$79:$O$79,$D$111:$O$111)/2)</f>
        <v>0</v>
      </c>
      <c r="O119" s="93">
        <f>IF(SUM($D$47:$O$47,$D$79:$O$79,$D$111:$O$111)=0,0,'5Y – Cost Model'!$C$7*O47/SUM($D$47:$O$47,$D$79:$O$79,$D$111:$O$111)/2)</f>
        <v>431.25</v>
      </c>
      <c r="P119" s="93">
        <f>IF(SUM($P$47:$S$47,$P$79:$S$79,$P$111:$S$111)=0,0,'5Y – Cost Model'!$D$7*P47/SUM($P$47:$S$47,$P$79:$S$79,$P$111:$S$111)/2)</f>
        <v>4996.5243109745425</v>
      </c>
      <c r="Q119" s="93">
        <f>IF(SUM($P$47:$S$47,$P$79:$S$79,$P$111:$S$111)=0,0,'5Y – Cost Model'!$D$7*Q47/SUM($P$47:$S$47,$P$79:$S$79,$P$111:$S$111)/2)</f>
        <v>8698.8321337561028</v>
      </c>
      <c r="R119" s="93">
        <f>IF(SUM($P$47:$S$47,$P$79:$S$79,$P$111:$S$111)=0,0,'5Y – Cost Model'!$D$7*R47/SUM($P$47:$S$47,$P$79:$S$79,$P$111:$S$111)/2)</f>
        <v>11227.151229542938</v>
      </c>
      <c r="S119" s="93">
        <f>IF(SUM($P$47:$S$47,$P$79:$S$79,$P$111:$S$111)=0,0,'5Y – Cost Model'!$D$7*S47/SUM($P$47:$S$47,$P$79:$S$79,$P$111:$S$111)/2)</f>
        <v>14056.039728325411</v>
      </c>
      <c r="T119" s="93">
        <f>IF(SUM($T$47,$T$79,$T$111)=0,0,'5Y – Cost Model'!$E$7*T47/SUM($T$47,$T$79,$T$111)/2)</f>
        <v>10466.703546585515</v>
      </c>
      <c r="U119" s="6" t="s">
        <v>179</v>
      </c>
      <c r="V119" s="6"/>
      <c r="W119"/>
      <c r="X119"/>
      <c r="Y119"/>
      <c r="Z119"/>
      <c r="AA119"/>
      <c r="AB119"/>
    </row>
    <row r="120" spans="1:41" ht="15.5" customHeight="1" x14ac:dyDescent="0.25">
      <c r="A120"/>
      <c r="B120" s="80"/>
      <c r="C120" s="31"/>
      <c r="D120"/>
      <c r="E120"/>
      <c r="F120"/>
      <c r="G120"/>
      <c r="H120"/>
      <c r="I120"/>
      <c r="J120"/>
      <c r="K120"/>
      <c r="L120"/>
      <c r="M120"/>
      <c r="N120"/>
      <c r="O120"/>
      <c r="P120"/>
      <c r="Q120"/>
      <c r="R120"/>
      <c r="S120"/>
      <c r="T120"/>
      <c r="U120" s="6"/>
      <c r="V120" s="6"/>
      <c r="W120"/>
      <c r="X120"/>
      <c r="Y120"/>
      <c r="Z120"/>
      <c r="AA120"/>
      <c r="AB120"/>
    </row>
    <row r="121" spans="1:41" ht="15.5" customHeight="1" x14ac:dyDescent="0.25">
      <c r="A121"/>
      <c r="B121" s="1"/>
      <c r="C121" s="31"/>
      <c r="D121"/>
      <c r="E121"/>
      <c r="F121"/>
      <c r="G121"/>
      <c r="H121"/>
      <c r="I121"/>
      <c r="J121"/>
      <c r="K121"/>
      <c r="L121"/>
      <c r="M121"/>
      <c r="N121"/>
      <c r="O121"/>
      <c r="P121"/>
      <c r="Q121"/>
      <c r="R121"/>
      <c r="S121"/>
      <c r="T121"/>
      <c r="U121" s="6"/>
      <c r="V121" s="6"/>
      <c r="W121"/>
      <c r="X121"/>
      <c r="Y121"/>
      <c r="Z121"/>
      <c r="AA121"/>
      <c r="AB121"/>
    </row>
    <row r="122" spans="1:41" ht="15.5" customHeight="1" x14ac:dyDescent="0.25">
      <c r="A122"/>
      <c r="B122" s="80" t="s">
        <v>182</v>
      </c>
      <c r="C122" s="31"/>
      <c r="D122" s="79" t="s">
        <v>16</v>
      </c>
      <c r="E122" s="79" t="s">
        <v>17</v>
      </c>
      <c r="F122" s="79" t="s">
        <v>18</v>
      </c>
      <c r="G122" s="79" t="s">
        <v>19</v>
      </c>
      <c r="H122" s="79" t="s">
        <v>20</v>
      </c>
      <c r="I122" s="79" t="s">
        <v>21</v>
      </c>
      <c r="J122" s="79" t="s">
        <v>22</v>
      </c>
      <c r="K122" s="79" t="s">
        <v>23</v>
      </c>
      <c r="L122" s="79" t="s">
        <v>24</v>
      </c>
      <c r="M122" s="79" t="s">
        <v>25</v>
      </c>
      <c r="N122" s="79" t="s">
        <v>26</v>
      </c>
      <c r="O122" s="79" t="s">
        <v>27</v>
      </c>
      <c r="P122" s="79" t="s">
        <v>28</v>
      </c>
      <c r="Q122" s="79" t="s">
        <v>29</v>
      </c>
      <c r="R122" s="79" t="s">
        <v>30</v>
      </c>
      <c r="S122" s="79" t="s">
        <v>31</v>
      </c>
      <c r="T122" s="79" t="s">
        <v>32</v>
      </c>
      <c r="U122" s="6"/>
      <c r="V122" s="6"/>
      <c r="W122"/>
      <c r="X122"/>
      <c r="Y122"/>
      <c r="Z122"/>
      <c r="AA122"/>
      <c r="AB122"/>
    </row>
    <row r="123" spans="1:41" ht="15.5" customHeight="1" x14ac:dyDescent="0.25">
      <c r="A123"/>
      <c r="B123" s="85" t="s">
        <v>183</v>
      </c>
      <c r="C123" s="31" t="s">
        <v>33</v>
      </c>
      <c r="D123" s="344">
        <f>ROUND('5Y – Cost Model'!$C$10/12,2)</f>
        <v>575</v>
      </c>
      <c r="E123" s="344">
        <f>ROUND('5Y – Cost Model'!$C$10/12,2)</f>
        <v>575</v>
      </c>
      <c r="F123" s="344">
        <f>ROUND('5Y – Cost Model'!$C$10/12,2)</f>
        <v>575</v>
      </c>
      <c r="G123" s="344">
        <f>ROUND('5Y – Cost Model'!$C$10/12,2)</f>
        <v>575</v>
      </c>
      <c r="H123" s="344">
        <f>ROUND('5Y – Cost Model'!$C$10/12,2)</f>
        <v>575</v>
      </c>
      <c r="I123" s="344">
        <f>ROUND('5Y – Cost Model'!$C$10/12,2)</f>
        <v>575</v>
      </c>
      <c r="J123" s="344">
        <f>ROUND('5Y – Cost Model'!$C$10/12,2)</f>
        <v>575</v>
      </c>
      <c r="K123" s="344">
        <f>ROUND('5Y – Cost Model'!$C$10/12,2)</f>
        <v>575</v>
      </c>
      <c r="L123" s="344">
        <f>ROUND('5Y – Cost Model'!$C$10/12,2)</f>
        <v>575</v>
      </c>
      <c r="M123" s="344">
        <f>ROUND('5Y – Cost Model'!$C$10/12,2)</f>
        <v>575</v>
      </c>
      <c r="N123" s="344">
        <f>ROUND('5Y – Cost Model'!$C$10/12,2)</f>
        <v>575</v>
      </c>
      <c r="O123" s="344">
        <f>'5Y – Cost Model'!$C$10-SUM(D123:N123)</f>
        <v>575</v>
      </c>
      <c r="P123" s="345">
        <f>ROUND(0/4,2)</f>
        <v>0</v>
      </c>
      <c r="Q123" s="345">
        <f>ROUND(0/4,2)</f>
        <v>0</v>
      </c>
      <c r="R123" s="345">
        <f>ROUND(0/4,2)</f>
        <v>0</v>
      </c>
      <c r="S123" s="345">
        <f>0-SUM(P123:R123)</f>
        <v>0</v>
      </c>
      <c r="T123" s="345">
        <f>0</f>
        <v>0</v>
      </c>
      <c r="U123" s="224" t="s">
        <v>184</v>
      </c>
      <c r="V123" s="6"/>
      <c r="W123"/>
      <c r="X123"/>
      <c r="Y123"/>
      <c r="Z123"/>
      <c r="AA123"/>
      <c r="AB123"/>
    </row>
    <row r="124" spans="1:41" ht="15.5" customHeight="1" x14ac:dyDescent="0.25">
      <c r="A124"/>
      <c r="B124" s="1" t="s">
        <v>185</v>
      </c>
      <c r="C124" s="31" t="s">
        <v>33</v>
      </c>
      <c r="D124" s="346">
        <f>ROUND('5Y – Cost Model'!$C$9/12,2)</f>
        <v>781.25</v>
      </c>
      <c r="E124" s="346">
        <f>ROUND('5Y – Cost Model'!$C$9/12,2)</f>
        <v>781.25</v>
      </c>
      <c r="F124" s="346">
        <f>ROUND('5Y – Cost Model'!$C$9/12,2)</f>
        <v>781.25</v>
      </c>
      <c r="G124" s="346">
        <f>ROUND('5Y – Cost Model'!$C$9/12,2)</f>
        <v>781.25</v>
      </c>
      <c r="H124" s="346">
        <f>ROUND('5Y – Cost Model'!$C$9/12,2)</f>
        <v>781.25</v>
      </c>
      <c r="I124" s="346">
        <f>ROUND('5Y – Cost Model'!$C$9/12,2)</f>
        <v>781.25</v>
      </c>
      <c r="J124" s="346">
        <f>ROUND('5Y – Cost Model'!$C$9/12,2)</f>
        <v>781.25</v>
      </c>
      <c r="K124" s="346">
        <f>ROUND('5Y – Cost Model'!$C$9/12,2)</f>
        <v>781.25</v>
      </c>
      <c r="L124" s="346">
        <f>ROUND('5Y – Cost Model'!$C$9/12,2)</f>
        <v>781.25</v>
      </c>
      <c r="M124" s="346">
        <f>ROUND('5Y – Cost Model'!$C$9/12,2)</f>
        <v>781.25</v>
      </c>
      <c r="N124" s="346">
        <f>ROUND('5Y – Cost Model'!$C$9/12,2)</f>
        <v>781.25</v>
      </c>
      <c r="O124" s="346">
        <f>'5Y – Cost Model'!$C$9-SUM(D124:N124)</f>
        <v>781.25</v>
      </c>
      <c r="P124" s="346">
        <f>ROUND('5Y – Cost Model'!$D$9*5/13/4,2)</f>
        <v>2343.75</v>
      </c>
      <c r="Q124" s="346">
        <f>ROUND('5Y – Cost Model'!$D$9*5/13/4,2)</f>
        <v>2343.75</v>
      </c>
      <c r="R124" s="346">
        <f>ROUND('5Y – Cost Model'!$D$9*5/13/4,2)</f>
        <v>2343.75</v>
      </c>
      <c r="S124" s="346">
        <f>'5Y – Cost Model'!$D$9*5/13-SUM(P124:R124)</f>
        <v>2343.75</v>
      </c>
      <c r="T124" s="346">
        <f>'5Y – Cost Model'!$E$9*5/14</f>
        <v>9375</v>
      </c>
      <c r="U124" s="6" t="s">
        <v>186</v>
      </c>
      <c r="V124" s="6"/>
      <c r="W124"/>
      <c r="X124"/>
      <c r="Y124"/>
      <c r="Z124"/>
      <c r="AA124"/>
      <c r="AB124"/>
    </row>
    <row r="125" spans="1:41" ht="15.5" customHeight="1" x14ac:dyDescent="0.25">
      <c r="A125"/>
      <c r="B125" s="1" t="s">
        <v>187</v>
      </c>
      <c r="C125" s="31" t="s">
        <v>33</v>
      </c>
      <c r="D125" s="346">
        <v>0</v>
      </c>
      <c r="E125" s="346">
        <v>0</v>
      </c>
      <c r="F125" s="346">
        <v>0</v>
      </c>
      <c r="G125" s="346">
        <v>0</v>
      </c>
      <c r="H125" s="346">
        <v>0</v>
      </c>
      <c r="I125" s="346">
        <v>0</v>
      </c>
      <c r="J125" s="346">
        <v>0</v>
      </c>
      <c r="K125" s="346">
        <v>0</v>
      </c>
      <c r="L125" s="346">
        <v>0</v>
      </c>
      <c r="M125" s="346">
        <v>0</v>
      </c>
      <c r="N125" s="346">
        <v>0</v>
      </c>
      <c r="O125" s="346">
        <v>0</v>
      </c>
      <c r="P125" s="346">
        <v>0</v>
      </c>
      <c r="Q125" s="346">
        <v>0</v>
      </c>
      <c r="R125" s="346">
        <v>0</v>
      </c>
      <c r="S125" s="346">
        <v>0</v>
      </c>
      <c r="T125" s="346">
        <v>0</v>
      </c>
      <c r="U125" s="46" t="s">
        <v>188</v>
      </c>
      <c r="V125" s="6"/>
      <c r="W125"/>
      <c r="X125"/>
      <c r="Y125"/>
      <c r="Z125"/>
      <c r="AA125"/>
      <c r="AB125"/>
    </row>
    <row r="126" spans="1:41" s="127" customFormat="1" ht="15.5" customHeight="1" x14ac:dyDescent="0.25">
      <c r="A126" s="122"/>
      <c r="C126" s="125"/>
      <c r="D126" s="122"/>
      <c r="E126" s="122"/>
      <c r="F126" s="122"/>
      <c r="G126" s="122"/>
      <c r="H126" s="122"/>
      <c r="I126" s="122"/>
      <c r="J126" s="122"/>
      <c r="K126" s="122"/>
      <c r="L126" s="122"/>
      <c r="M126" s="122"/>
      <c r="N126" s="122"/>
      <c r="O126" s="122"/>
      <c r="P126" s="122"/>
      <c r="Q126" s="122"/>
      <c r="R126" s="122"/>
      <c r="S126" s="122"/>
      <c r="T126" s="122"/>
      <c r="U126" s="339"/>
      <c r="V126" s="347"/>
      <c r="W126" s="122"/>
      <c r="X126" s="122"/>
      <c r="Y126" s="122"/>
      <c r="Z126" s="122"/>
      <c r="AA126" s="122"/>
      <c r="AB126" s="122"/>
    </row>
    <row r="127" spans="1:41" ht="15.5" customHeight="1" x14ac:dyDescent="0.25">
      <c r="A127"/>
      <c r="B127" s="80" t="s">
        <v>189</v>
      </c>
      <c r="C127" s="31"/>
      <c r="D127" s="79" t="s">
        <v>16</v>
      </c>
      <c r="E127" s="79" t="s">
        <v>17</v>
      </c>
      <c r="F127" s="79" t="s">
        <v>18</v>
      </c>
      <c r="G127" s="79" t="s">
        <v>19</v>
      </c>
      <c r="H127" s="79" t="s">
        <v>20</v>
      </c>
      <c r="I127" s="79" t="s">
        <v>21</v>
      </c>
      <c r="J127" s="79" t="s">
        <v>22</v>
      </c>
      <c r="K127" s="79" t="s">
        <v>23</v>
      </c>
      <c r="L127" s="79" t="s">
        <v>24</v>
      </c>
      <c r="M127" s="79" t="s">
        <v>25</v>
      </c>
      <c r="N127" s="79" t="s">
        <v>26</v>
      </c>
      <c r="O127" s="79" t="s">
        <v>27</v>
      </c>
      <c r="P127" s="79" t="s">
        <v>28</v>
      </c>
      <c r="Q127" s="79" t="s">
        <v>29</v>
      </c>
      <c r="R127" s="79" t="s">
        <v>30</v>
      </c>
      <c r="S127" s="79" t="s">
        <v>31</v>
      </c>
      <c r="T127" s="79" t="s">
        <v>32</v>
      </c>
      <c r="U127" s="6"/>
      <c r="V127" s="6"/>
      <c r="W127"/>
      <c r="X127"/>
      <c r="Y127"/>
      <c r="Z127"/>
      <c r="AA127"/>
      <c r="AB127"/>
    </row>
    <row r="128" spans="1:41" ht="15.5" customHeight="1" x14ac:dyDescent="0.25">
      <c r="A128"/>
      <c r="B128" s="85" t="s">
        <v>190</v>
      </c>
      <c r="C128" s="31" t="s">
        <v>33</v>
      </c>
      <c r="D128" s="83">
        <f>0</f>
        <v>0</v>
      </c>
      <c r="E128" s="83">
        <f>0</f>
        <v>0</v>
      </c>
      <c r="F128" s="83">
        <f>0</f>
        <v>0</v>
      </c>
      <c r="G128" s="83">
        <f>0</f>
        <v>0</v>
      </c>
      <c r="H128" s="83">
        <f>0</f>
        <v>0</v>
      </c>
      <c r="I128" s="83">
        <f>0</f>
        <v>0</v>
      </c>
      <c r="J128" s="83">
        <f>0</f>
        <v>0</v>
      </c>
      <c r="K128" s="83">
        <f>0</f>
        <v>0</v>
      </c>
      <c r="L128" s="83">
        <f>0</f>
        <v>0</v>
      </c>
      <c r="M128" s="83">
        <f>0</f>
        <v>0</v>
      </c>
      <c r="N128" s="83">
        <f>0</f>
        <v>0</v>
      </c>
      <c r="O128" s="83">
        <f>0</f>
        <v>0</v>
      </c>
      <c r="P128" s="91">
        <f>0</f>
        <v>0</v>
      </c>
      <c r="Q128" s="91">
        <f>ROUND('5Y – Cost Model'!$D$20*50000/2007750,2)</f>
        <v>6225.87</v>
      </c>
      <c r="R128" s="91">
        <f>ROUND('5Y – Cost Model'!$D$20*100000/2007750,2)</f>
        <v>12451.75</v>
      </c>
      <c r="S128" s="91">
        <f>ROUND('5Y – Cost Model'!$D$20*150000/2007750,2)</f>
        <v>18677.62</v>
      </c>
      <c r="T128" s="91">
        <f>ROUND('5Y – Cost Model'!$E$20*300000/2575000,2)</f>
        <v>46601.94</v>
      </c>
      <c r="U128" s="221" t="s">
        <v>191</v>
      </c>
      <c r="V128" s="6"/>
      <c r="W128"/>
      <c r="X128"/>
      <c r="Y128"/>
      <c r="Z128"/>
      <c r="AA128"/>
      <c r="AB128"/>
    </row>
    <row r="129" spans="1:28" ht="15.5" customHeight="1" x14ac:dyDescent="0.25">
      <c r="A129"/>
      <c r="B129" s="227" t="s">
        <v>192</v>
      </c>
      <c r="C129" s="31" t="s">
        <v>33</v>
      </c>
      <c r="D129" s="94">
        <f>ROUND('5Y – Cost Model'!$C$20*3750/92812.5,2)</f>
        <v>3636.36</v>
      </c>
      <c r="E129" s="94">
        <f>ROUND('5Y – Cost Model'!$C$20*3750/92812.5,2)</f>
        <v>3636.36</v>
      </c>
      <c r="F129" s="94">
        <f>ROUND('5Y – Cost Model'!$C$20*3750/92812.5,2)</f>
        <v>3636.36</v>
      </c>
      <c r="G129" s="94">
        <f>ROUND('5Y – Cost Model'!$C$20*3750/92812.5,2)</f>
        <v>3636.36</v>
      </c>
      <c r="H129" s="94">
        <f>ROUND('5Y – Cost Model'!$C$20*3750/92812.5,2)</f>
        <v>3636.36</v>
      </c>
      <c r="I129" s="94">
        <f>ROUND('5Y – Cost Model'!$C$20*3750/92812.5,2)</f>
        <v>3636.36</v>
      </c>
      <c r="J129" s="94">
        <f>ROUND('5Y – Cost Model'!$C$20*3906.25/92812.5,2)</f>
        <v>3787.88</v>
      </c>
      <c r="K129" s="94">
        <f>ROUND('5Y – Cost Model'!$C$20*3906.25/92812.5,2)</f>
        <v>3787.88</v>
      </c>
      <c r="L129" s="94">
        <f>ROUND('5Y – Cost Model'!$C$20*3906.25/92812.5,2)</f>
        <v>3787.88</v>
      </c>
      <c r="M129" s="94">
        <f>ROUND('5Y – Cost Model'!$C$20*6250/92812.5,2)</f>
        <v>6060.61</v>
      </c>
      <c r="N129" s="94">
        <f>ROUND('5Y – Cost Model'!$C$20*6250/92812.5,2)</f>
        <v>6060.61</v>
      </c>
      <c r="O129" s="94">
        <f>ROUND('5Y – Cost Model'!$C$20*6250/92812.5,2)</f>
        <v>6060.61</v>
      </c>
      <c r="P129" s="94">
        <f>ROUND('5Y – Cost Model'!$D$20*30000/2007750,2)</f>
        <v>3735.52</v>
      </c>
      <c r="Q129" s="94">
        <f>ROUND('5Y – Cost Model'!$D$20*50000/2007750,2)</f>
        <v>6225.87</v>
      </c>
      <c r="R129" s="94">
        <f>ROUND('5Y – Cost Model'!$D$20*75000/2007750,2)</f>
        <v>9338.81</v>
      </c>
      <c r="S129" s="94">
        <f>ROUND('5Y – Cost Model'!$D$20*100000/2007750,2)</f>
        <v>12451.75</v>
      </c>
      <c r="T129" s="95">
        <f>ROUND('5Y – Cost Model'!$E$20*75000/2575000,2)</f>
        <v>11650.49</v>
      </c>
      <c r="U129" s="228" t="s">
        <v>193</v>
      </c>
      <c r="V129" s="6"/>
      <c r="W129"/>
      <c r="X129"/>
      <c r="Y129"/>
      <c r="Z129"/>
      <c r="AA129"/>
      <c r="AB129"/>
    </row>
    <row r="130" spans="1:28" ht="15.5" customHeight="1" x14ac:dyDescent="0.25">
      <c r="A130"/>
      <c r="B130" s="1"/>
      <c r="C130"/>
      <c r="D130"/>
      <c r="E130"/>
      <c r="F130"/>
      <c r="G130"/>
      <c r="H130"/>
      <c r="I130"/>
      <c r="J130"/>
      <c r="K130"/>
      <c r="L130"/>
      <c r="M130"/>
      <c r="N130"/>
      <c r="O130"/>
      <c r="P130"/>
      <c r="Q130"/>
      <c r="R130"/>
      <c r="S130"/>
      <c r="T130"/>
      <c r="U130" s="6"/>
      <c r="V130" s="6"/>
      <c r="W130"/>
      <c r="X130"/>
      <c r="Y130"/>
      <c r="Z130"/>
      <c r="AA130"/>
      <c r="AB130"/>
    </row>
    <row r="131" spans="1:28" ht="15.5" customHeight="1" x14ac:dyDescent="0.25">
      <c r="A131"/>
      <c r="B131" s="80" t="s">
        <v>194</v>
      </c>
      <c r="C131" s="31"/>
      <c r="D131" s="79" t="s">
        <v>16</v>
      </c>
      <c r="E131" s="79" t="s">
        <v>17</v>
      </c>
      <c r="F131" s="79" t="s">
        <v>18</v>
      </c>
      <c r="G131" s="79" t="s">
        <v>19</v>
      </c>
      <c r="H131" s="79" t="s">
        <v>20</v>
      </c>
      <c r="I131" s="79" t="s">
        <v>21</v>
      </c>
      <c r="J131" s="79" t="s">
        <v>22</v>
      </c>
      <c r="K131" s="79" t="s">
        <v>23</v>
      </c>
      <c r="L131" s="79" t="s">
        <v>24</v>
      </c>
      <c r="M131" s="79" t="s">
        <v>25</v>
      </c>
      <c r="N131" s="79" t="s">
        <v>26</v>
      </c>
      <c r="O131" s="79" t="s">
        <v>27</v>
      </c>
      <c r="P131" s="79" t="s">
        <v>28</v>
      </c>
      <c r="Q131" s="79" t="s">
        <v>29</v>
      </c>
      <c r="R131" s="79" t="s">
        <v>30</v>
      </c>
      <c r="S131" s="79" t="s">
        <v>31</v>
      </c>
      <c r="T131" s="79" t="s">
        <v>32</v>
      </c>
      <c r="U131" s="6"/>
      <c r="V131" s="6"/>
      <c r="W131"/>
      <c r="X131"/>
      <c r="Y131"/>
      <c r="Z131"/>
      <c r="AA131"/>
      <c r="AB131"/>
    </row>
    <row r="132" spans="1:28" ht="15.5" customHeight="1" x14ac:dyDescent="0.25">
      <c r="A132"/>
      <c r="B132" s="85" t="s">
        <v>195</v>
      </c>
      <c r="C132" s="31" t="s">
        <v>33</v>
      </c>
      <c r="D132" s="83">
        <f>ROUND('5Y – Cost Model'!$C$21/12,2)</f>
        <v>1437.5</v>
      </c>
      <c r="E132" s="83">
        <f>ROUND('5Y – Cost Model'!$C$21/12,2)</f>
        <v>1437.5</v>
      </c>
      <c r="F132" s="83">
        <f>ROUND('5Y – Cost Model'!$C$21/12,2)</f>
        <v>1437.5</v>
      </c>
      <c r="G132" s="83">
        <f>ROUND('5Y – Cost Model'!$C$21/12,2)</f>
        <v>1437.5</v>
      </c>
      <c r="H132" s="83">
        <f>ROUND('5Y – Cost Model'!$C$21/12,2)</f>
        <v>1437.5</v>
      </c>
      <c r="I132" s="83">
        <f>ROUND('5Y – Cost Model'!$C$21/12,2)</f>
        <v>1437.5</v>
      </c>
      <c r="J132" s="83">
        <f>ROUND('5Y – Cost Model'!$C$21/12,2)</f>
        <v>1437.5</v>
      </c>
      <c r="K132" s="83">
        <f>ROUND('5Y – Cost Model'!$C$21/12,2)</f>
        <v>1437.5</v>
      </c>
      <c r="L132" s="83">
        <f>ROUND('5Y – Cost Model'!$C$21/12,2)</f>
        <v>1437.5</v>
      </c>
      <c r="M132" s="83">
        <f>ROUND('5Y – Cost Model'!$C$21/12,2)</f>
        <v>1437.5</v>
      </c>
      <c r="N132" s="83">
        <f>ROUND('5Y – Cost Model'!$C$21/12,2)</f>
        <v>1437.5</v>
      </c>
      <c r="O132" s="83">
        <f>'5Y – Cost Model'!$C$21-SUM(D132:N132)</f>
        <v>1437.5</v>
      </c>
      <c r="P132" s="91">
        <f>ROUND(90000/4,2)</f>
        <v>22500</v>
      </c>
      <c r="Q132" s="91">
        <f>ROUND(90000/4,2)</f>
        <v>22500</v>
      </c>
      <c r="R132" s="91">
        <f>ROUND(90000/4,2)</f>
        <v>22500</v>
      </c>
      <c r="S132" s="91">
        <f>90000-SUM(P132:R132)</f>
        <v>22500</v>
      </c>
      <c r="T132" s="91">
        <f>120000</f>
        <v>120000</v>
      </c>
      <c r="U132" s="221" t="s">
        <v>196</v>
      </c>
      <c r="V132" s="6"/>
      <c r="W132"/>
      <c r="X132"/>
      <c r="Y132"/>
      <c r="Z132"/>
      <c r="AA132"/>
      <c r="AB132"/>
    </row>
    <row r="133" spans="1:28" ht="15.5" customHeight="1" x14ac:dyDescent="0.25">
      <c r="A133"/>
      <c r="B133" s="1"/>
      <c r="C133" s="31"/>
      <c r="D133" s="79"/>
      <c r="E133" s="79"/>
      <c r="F133" s="79"/>
      <c r="G133" s="79"/>
      <c r="H133" s="79"/>
      <c r="I133" s="79"/>
      <c r="J133" s="79"/>
      <c r="K133" s="79"/>
      <c r="L133" s="79"/>
      <c r="M133" s="79"/>
      <c r="N133" s="79"/>
      <c r="O133" s="79"/>
      <c r="P133" s="79"/>
      <c r="Q133" s="79"/>
      <c r="R133" s="79"/>
      <c r="S133" s="79"/>
      <c r="T133" s="79"/>
      <c r="U133" s="6"/>
      <c r="V133" s="6"/>
      <c r="W133"/>
      <c r="X133"/>
      <c r="Y133"/>
      <c r="Z133"/>
      <c r="AA133"/>
      <c r="AB133"/>
    </row>
    <row r="134" spans="1:28" ht="15.5" customHeight="1" x14ac:dyDescent="0.25">
      <c r="A134"/>
      <c r="B134" s="1"/>
      <c r="C134" s="31"/>
      <c r="D134"/>
      <c r="E134"/>
      <c r="F134"/>
      <c r="G134"/>
      <c r="H134"/>
      <c r="I134"/>
      <c r="J134"/>
      <c r="K134"/>
      <c r="L134"/>
      <c r="M134"/>
      <c r="N134"/>
      <c r="O134"/>
      <c r="P134"/>
      <c r="Q134"/>
      <c r="R134"/>
      <c r="S134"/>
      <c r="T134"/>
      <c r="U134" s="6"/>
      <c r="V134" s="6"/>
      <c r="W134"/>
      <c r="X134"/>
      <c r="Y134"/>
      <c r="Z134"/>
      <c r="AA134"/>
      <c r="AB134"/>
    </row>
    <row r="135" spans="1:28" ht="15.5" customHeight="1" x14ac:dyDescent="0.25">
      <c r="A135"/>
      <c r="B135" s="80" t="s">
        <v>197</v>
      </c>
      <c r="C135" s="31"/>
      <c r="D135" s="79" t="s">
        <v>16</v>
      </c>
      <c r="E135" s="79" t="s">
        <v>17</v>
      </c>
      <c r="F135" s="79" t="s">
        <v>18</v>
      </c>
      <c r="G135" s="79" t="s">
        <v>19</v>
      </c>
      <c r="H135" s="79" t="s">
        <v>20</v>
      </c>
      <c r="I135" s="79" t="s">
        <v>21</v>
      </c>
      <c r="J135" s="79" t="s">
        <v>22</v>
      </c>
      <c r="K135" s="79" t="s">
        <v>23</v>
      </c>
      <c r="L135" s="79" t="s">
        <v>24</v>
      </c>
      <c r="M135" s="79" t="s">
        <v>25</v>
      </c>
      <c r="N135" s="79" t="s">
        <v>26</v>
      </c>
      <c r="O135" s="79" t="s">
        <v>27</v>
      </c>
      <c r="P135" s="79" t="s">
        <v>28</v>
      </c>
      <c r="Q135" s="79" t="s">
        <v>29</v>
      </c>
      <c r="R135" s="79" t="s">
        <v>30</v>
      </c>
      <c r="S135" s="79" t="s">
        <v>31</v>
      </c>
      <c r="T135" s="79" t="s">
        <v>32</v>
      </c>
      <c r="U135" s="46"/>
      <c r="V135" s="6"/>
      <c r="W135"/>
      <c r="X135"/>
      <c r="Y135"/>
      <c r="Z135"/>
      <c r="AA135"/>
      <c r="AB135"/>
    </row>
    <row r="136" spans="1:28" ht="15.5" customHeight="1" x14ac:dyDescent="0.25">
      <c r="A136"/>
      <c r="B136" s="72" t="s">
        <v>198</v>
      </c>
      <c r="C136" s="31" t="s">
        <v>33</v>
      </c>
      <c r="D136" s="96">
        <f>6000</f>
        <v>6000</v>
      </c>
      <c r="E136" s="96">
        <f>5500</f>
        <v>5500</v>
      </c>
      <c r="F136" s="96">
        <f>2500</f>
        <v>2500</v>
      </c>
      <c r="G136" s="96">
        <f>14500</f>
        <v>14500</v>
      </c>
      <c r="H136" s="96">
        <f>14500</f>
        <v>14500</v>
      </c>
      <c r="I136" s="96">
        <f>14500</f>
        <v>14500</v>
      </c>
      <c r="J136" s="96">
        <f>7500</f>
        <v>7500</v>
      </c>
      <c r="K136" s="96">
        <f>7500</f>
        <v>7500</v>
      </c>
      <c r="L136" s="96">
        <f>7500</f>
        <v>7500</v>
      </c>
      <c r="M136" s="96">
        <f>0</f>
        <v>0</v>
      </c>
      <c r="N136" s="96">
        <f>0</f>
        <v>0</v>
      </c>
      <c r="O136" s="96">
        <f>0</f>
        <v>0</v>
      </c>
      <c r="P136" s="91">
        <f>0</f>
        <v>0</v>
      </c>
      <c r="Q136" s="91">
        <f>0</f>
        <v>0</v>
      </c>
      <c r="R136" s="91">
        <f>0</f>
        <v>0</v>
      </c>
      <c r="S136" s="91">
        <f>0</f>
        <v>0</v>
      </c>
      <c r="T136" s="91">
        <f>'5Y – Cost Model'!$E$15</f>
        <v>0</v>
      </c>
      <c r="U136" s="46" t="s">
        <v>199</v>
      </c>
      <c r="V136" s="6"/>
      <c r="W136"/>
      <c r="X136"/>
      <c r="Y136"/>
      <c r="Z136"/>
      <c r="AA136"/>
      <c r="AB136"/>
    </row>
    <row r="137" spans="1:28" ht="15.5" customHeight="1" x14ac:dyDescent="0.25">
      <c r="A137"/>
      <c r="B137" s="72" t="s">
        <v>200</v>
      </c>
      <c r="C137" s="31" t="s">
        <v>33</v>
      </c>
      <c r="D137" s="83">
        <f>ROUND(SUM('5Y – Cost Model'!$C$11:$C$14)/12,2)</f>
        <v>9135</v>
      </c>
      <c r="E137" s="83">
        <f>ROUND(SUM('5Y – Cost Model'!$C$11:$C$14)/12,2)</f>
        <v>9135</v>
      </c>
      <c r="F137" s="83">
        <f>ROUND(SUM('5Y – Cost Model'!$C$11:$C$14)/12,2)</f>
        <v>9135</v>
      </c>
      <c r="G137" s="83">
        <f>ROUND(SUM('5Y – Cost Model'!$C$11:$C$14)/12,2)</f>
        <v>9135</v>
      </c>
      <c r="H137" s="83">
        <f>ROUND(SUM('5Y – Cost Model'!$C$11:$C$14)/12,2)</f>
        <v>9135</v>
      </c>
      <c r="I137" s="83">
        <f>ROUND(SUM('5Y – Cost Model'!$C$11:$C$14)/12,2)</f>
        <v>9135</v>
      </c>
      <c r="J137" s="83">
        <f>ROUND(SUM('5Y – Cost Model'!$C$11:$C$14)/12,2)</f>
        <v>9135</v>
      </c>
      <c r="K137" s="83">
        <f>ROUND(SUM('5Y – Cost Model'!$C$11:$C$14)/12,2)</f>
        <v>9135</v>
      </c>
      <c r="L137" s="83">
        <f>ROUND(SUM('5Y – Cost Model'!$C$11:$C$14)/12,2)</f>
        <v>9135</v>
      </c>
      <c r="M137" s="83">
        <f>ROUND(SUM('5Y – Cost Model'!$C$11:$C$14)/12,2)</f>
        <v>9135</v>
      </c>
      <c r="N137" s="83">
        <f>ROUND(SUM('5Y – Cost Model'!$C$11:$C$14)/12,2)</f>
        <v>9135</v>
      </c>
      <c r="O137" s="83">
        <f>SUM('5Y – Cost Model'!$C$11:$C$14)-SUM(D137:N137)</f>
        <v>9135</v>
      </c>
      <c r="P137" s="84">
        <f>ROUND(SUM('5Y – Cost Model'!$D$11:$D$14)/4,2)</f>
        <v>58687.5</v>
      </c>
      <c r="Q137" s="84">
        <f>ROUND(SUM('5Y – Cost Model'!$D$11:$D$14)/4,2)</f>
        <v>58687.5</v>
      </c>
      <c r="R137" s="84">
        <f>ROUND(SUM('5Y – Cost Model'!$D$11:$D$14)/4,2)</f>
        <v>58687.5</v>
      </c>
      <c r="S137" s="84">
        <f>SUM('5Y – Cost Model'!$D$11:$D$14)-SUM(P137:R137)</f>
        <v>58687.5</v>
      </c>
      <c r="T137" s="84">
        <f>SUM('5Y – Cost Model'!$E$11:$E$14)</f>
        <v>339000</v>
      </c>
      <c r="U137" s="46" t="s">
        <v>201</v>
      </c>
      <c r="V137" s="6"/>
      <c r="W137"/>
      <c r="X137"/>
      <c r="Y137"/>
      <c r="Z137"/>
      <c r="AA137"/>
      <c r="AB137"/>
    </row>
    <row r="138" spans="1:28" ht="15.5" customHeight="1" x14ac:dyDescent="0.25">
      <c r="A138"/>
      <c r="B138" s="85" t="s">
        <v>202</v>
      </c>
      <c r="C138" s="31" t="s">
        <v>33</v>
      </c>
      <c r="D138" s="83">
        <f>ROUND((SUM('5Y – Cost Model'!$C$16:$C$19)+'5Y – Cost Model'!$C$22)/12,2)</f>
        <v>5806.25</v>
      </c>
      <c r="E138" s="83">
        <f>ROUND((SUM('5Y – Cost Model'!$C$16:$C$19)+'5Y – Cost Model'!$C$22)/12,2)</f>
        <v>5806.25</v>
      </c>
      <c r="F138" s="83">
        <f>ROUND((SUM('5Y – Cost Model'!$C$16:$C$19)+'5Y – Cost Model'!$C$22)/12,2)</f>
        <v>5806.25</v>
      </c>
      <c r="G138" s="83">
        <f>ROUND((SUM('5Y – Cost Model'!$C$16:$C$19)+'5Y – Cost Model'!$C$22)/12,2)</f>
        <v>5806.25</v>
      </c>
      <c r="H138" s="83">
        <f>ROUND((SUM('5Y – Cost Model'!$C$16:$C$19)+'5Y – Cost Model'!$C$22)/12,2)</f>
        <v>5806.25</v>
      </c>
      <c r="I138" s="83">
        <f>ROUND((SUM('5Y – Cost Model'!$C$16:$C$19)+'5Y – Cost Model'!$C$22)/12,2)</f>
        <v>5806.25</v>
      </c>
      <c r="J138" s="83">
        <f>ROUND((SUM('5Y – Cost Model'!$C$16:$C$19)+'5Y – Cost Model'!$C$22)/12,2)</f>
        <v>5806.25</v>
      </c>
      <c r="K138" s="83">
        <f>ROUND((SUM('5Y – Cost Model'!$C$16:$C$19)+'5Y – Cost Model'!$C$22)/12,2)</f>
        <v>5806.25</v>
      </c>
      <c r="L138" s="83">
        <f>ROUND((SUM('5Y – Cost Model'!$C$16:$C$19)+'5Y – Cost Model'!$C$22)/12,2)</f>
        <v>5806.25</v>
      </c>
      <c r="M138" s="83">
        <f>ROUND((SUM('5Y – Cost Model'!$C$16:$C$19)+'5Y – Cost Model'!$C$22)/12,2)</f>
        <v>5806.25</v>
      </c>
      <c r="N138" s="83">
        <f>ROUND((SUM('5Y – Cost Model'!$C$16:$C$19)+'5Y – Cost Model'!$C$22)/12,2)</f>
        <v>5806.25</v>
      </c>
      <c r="O138" s="83">
        <f>(SUM('5Y – Cost Model'!$C$16:$C$19)+'5Y – Cost Model'!$C$22)-SUM(D138:N138)</f>
        <v>5806.25</v>
      </c>
      <c r="P138" s="91">
        <f>ROUND((SUM('5Y – Cost Model'!$D$16:$D$19)+'5Y – Cost Model'!$D$22)/4,2)</f>
        <v>33918.75</v>
      </c>
      <c r="Q138" s="91">
        <f>ROUND((SUM('5Y – Cost Model'!$D$16:$D$19)+'5Y – Cost Model'!$D$22)/4,2)</f>
        <v>33918.75</v>
      </c>
      <c r="R138" s="91">
        <f>ROUND((SUM('5Y – Cost Model'!$D$16:$D$19)+'5Y – Cost Model'!$D$22)/4,2)</f>
        <v>33918.75</v>
      </c>
      <c r="S138" s="91">
        <f>(SUM('5Y – Cost Model'!$D$16:$D$19)+'5Y – Cost Model'!$D$22)-SUM(P138:R138)</f>
        <v>33918.75</v>
      </c>
      <c r="T138" s="91">
        <f>(SUM('5Y – Cost Model'!$E$16:$E$19)+'5Y – Cost Model'!$E$22)</f>
        <v>285875</v>
      </c>
      <c r="U138" s="46" t="s">
        <v>203</v>
      </c>
      <c r="V138" s="6"/>
      <c r="W138"/>
      <c r="X138"/>
      <c r="Y138"/>
      <c r="Z138"/>
      <c r="AA138"/>
      <c r="AB138"/>
    </row>
    <row r="139" spans="1:28" ht="15.5" customHeight="1" x14ac:dyDescent="0.25">
      <c r="A139"/>
      <c r="B139" s="72" t="s">
        <v>204</v>
      </c>
      <c r="C139" s="31" t="s">
        <v>33</v>
      </c>
      <c r="D139" s="84">
        <f>ROUND('5Y – Cost Model'!$C$8/12,2)</f>
        <v>16000</v>
      </c>
      <c r="E139" s="84">
        <f>ROUND('5Y – Cost Model'!$C$8/12,2)</f>
        <v>16000</v>
      </c>
      <c r="F139" s="84">
        <f>ROUND('5Y – Cost Model'!$C$8/12,2)</f>
        <v>16000</v>
      </c>
      <c r="G139" s="84">
        <f>ROUND('5Y – Cost Model'!$C$8/12,2)</f>
        <v>16000</v>
      </c>
      <c r="H139" s="84">
        <f>ROUND('5Y – Cost Model'!$C$8/12,2)</f>
        <v>16000</v>
      </c>
      <c r="I139" s="84">
        <f>ROUND('5Y – Cost Model'!$C$8/12,2)</f>
        <v>16000</v>
      </c>
      <c r="J139" s="84">
        <f>ROUND('5Y – Cost Model'!$C$8/12,2)</f>
        <v>16000</v>
      </c>
      <c r="K139" s="84">
        <f>ROUND('5Y – Cost Model'!$C$8/12,2)</f>
        <v>16000</v>
      </c>
      <c r="L139" s="84">
        <f>ROUND('5Y – Cost Model'!$C$8/12,2)</f>
        <v>16000</v>
      </c>
      <c r="M139" s="84">
        <f>ROUND('5Y – Cost Model'!$C$8/12,2)</f>
        <v>16000</v>
      </c>
      <c r="N139" s="84">
        <f>ROUND('5Y – Cost Model'!$C$8/12,2)</f>
        <v>16000</v>
      </c>
      <c r="O139" s="84">
        <f>'5Y – Cost Model'!$C$8-SUM(D139:N139)</f>
        <v>16000</v>
      </c>
      <c r="P139" s="84">
        <f>ROUND(ROUND(192000+('5Y – Cost Model'!$D$8-192000)*267875/1714925,0)*94825/459875,0)</f>
        <v>48218</v>
      </c>
      <c r="Q139" s="84">
        <f>ROUND(ROUND(192000+('5Y – Cost Model'!$D$8-192000)*267875/1714925,0)*94825/459875,0)</f>
        <v>48218</v>
      </c>
      <c r="R139" s="84">
        <f>ROUND(ROUND(192000+('5Y – Cost Model'!$D$8-192000)*267875/1714925,0)*111700/459875,0)</f>
        <v>56799</v>
      </c>
      <c r="S139" s="84">
        <f>ROUND(192000+('5Y – Cost Model'!$D$8-192000)*267875/1714925,0)-SUM(P139:R139)</f>
        <v>80608</v>
      </c>
      <c r="T139" s="84">
        <f>ROUND(192000+('5Y – Cost Model'!$E$8-192000)*603250/4699100,0)</f>
        <v>269443</v>
      </c>
      <c r="U139" s="224" t="s">
        <v>205</v>
      </c>
      <c r="V139" s="6"/>
      <c r="W139"/>
      <c r="X139"/>
      <c r="Y139"/>
      <c r="Z139"/>
      <c r="AA139"/>
      <c r="AB139"/>
    </row>
    <row r="140" spans="1:28" ht="15.5" customHeight="1" x14ac:dyDescent="0.25">
      <c r="A140"/>
      <c r="B140" s="80"/>
      <c r="C140" s="31"/>
      <c r="D140" s="76"/>
      <c r="E140" s="76"/>
      <c r="F140" s="76"/>
      <c r="G140" s="76"/>
      <c r="H140" s="76"/>
      <c r="I140" s="76"/>
      <c r="J140" s="76"/>
      <c r="K140" s="76"/>
      <c r="L140" s="76"/>
      <c r="M140" s="76"/>
      <c r="N140" s="76"/>
      <c r="O140" s="76"/>
      <c r="P140"/>
      <c r="Q140"/>
      <c r="R140"/>
      <c r="S140"/>
      <c r="T140"/>
      <c r="U140" s="46"/>
      <c r="V140" s="6"/>
      <c r="W140"/>
      <c r="X140"/>
      <c r="Y140"/>
      <c r="Z140"/>
      <c r="AA140"/>
      <c r="AB140"/>
    </row>
    <row r="141" spans="1:28" ht="15.5" customHeight="1" x14ac:dyDescent="0.25">
      <c r="A141"/>
      <c r="B141" s="97" t="s">
        <v>206</v>
      </c>
      <c r="C141" s="31"/>
      <c r="D141" s="79" t="s">
        <v>16</v>
      </c>
      <c r="E141" s="79" t="s">
        <v>17</v>
      </c>
      <c r="F141" s="79" t="s">
        <v>18</v>
      </c>
      <c r="G141" s="79" t="s">
        <v>19</v>
      </c>
      <c r="H141" s="79" t="s">
        <v>20</v>
      </c>
      <c r="I141" s="79" t="s">
        <v>21</v>
      </c>
      <c r="J141" s="79" t="s">
        <v>22</v>
      </c>
      <c r="K141" s="79" t="s">
        <v>23</v>
      </c>
      <c r="L141" s="79" t="s">
        <v>24</v>
      </c>
      <c r="M141" s="79" t="s">
        <v>25</v>
      </c>
      <c r="N141" s="79" t="s">
        <v>26</v>
      </c>
      <c r="O141" s="79" t="s">
        <v>27</v>
      </c>
      <c r="P141" s="79" t="s">
        <v>28</v>
      </c>
      <c r="Q141" s="79" t="s">
        <v>29</v>
      </c>
      <c r="R141" s="79" t="s">
        <v>30</v>
      </c>
      <c r="S141" s="79" t="s">
        <v>31</v>
      </c>
      <c r="T141" s="79" t="s">
        <v>32</v>
      </c>
      <c r="U141" s="6"/>
      <c r="V141" s="6"/>
      <c r="W141"/>
      <c r="X141"/>
      <c r="Y141"/>
      <c r="Z141"/>
      <c r="AA141"/>
      <c r="AB141"/>
    </row>
    <row r="142" spans="1:28" ht="15.5" customHeight="1" x14ac:dyDescent="0.25">
      <c r="A142"/>
      <c r="B142" s="72" t="s">
        <v>207</v>
      </c>
      <c r="C142" s="31" t="s">
        <v>208</v>
      </c>
      <c r="D142" s="98">
        <v>0</v>
      </c>
      <c r="E142" s="98">
        <v>0</v>
      </c>
      <c r="F142" s="98">
        <v>0</v>
      </c>
      <c r="G142" s="98">
        <v>0</v>
      </c>
      <c r="H142" s="98">
        <v>0</v>
      </c>
      <c r="I142" s="98">
        <v>0</v>
      </c>
      <c r="J142" s="98">
        <v>0</v>
      </c>
      <c r="K142" s="98">
        <v>0</v>
      </c>
      <c r="L142" s="98">
        <v>0</v>
      </c>
      <c r="M142" s="98">
        <v>0</v>
      </c>
      <c r="N142" s="98">
        <v>0</v>
      </c>
      <c r="O142" s="98">
        <v>0</v>
      </c>
      <c r="P142" s="98">
        <v>0</v>
      </c>
      <c r="Q142" s="98">
        <v>0</v>
      </c>
      <c r="R142" s="98">
        <v>0</v>
      </c>
      <c r="S142" s="98">
        <v>0</v>
      </c>
      <c r="T142" s="98">
        <v>0</v>
      </c>
      <c r="U142" s="131" t="s">
        <v>209</v>
      </c>
      <c r="V142" s="6"/>
      <c r="W142"/>
      <c r="X142"/>
      <c r="Y142"/>
      <c r="Z142"/>
      <c r="AA142"/>
      <c r="AB142"/>
    </row>
    <row r="143" spans="1:28" ht="15.5" customHeight="1" x14ac:dyDescent="0.25">
      <c r="A143"/>
      <c r="B143" s="72" t="s">
        <v>210</v>
      </c>
      <c r="C143" s="31" t="s">
        <v>208</v>
      </c>
      <c r="D143" s="99">
        <v>0</v>
      </c>
      <c r="E143" s="99">
        <v>0</v>
      </c>
      <c r="F143" s="99">
        <v>0</v>
      </c>
      <c r="G143" s="99">
        <v>0</v>
      </c>
      <c r="H143" s="99">
        <v>0</v>
      </c>
      <c r="I143" s="99">
        <v>0</v>
      </c>
      <c r="J143" s="99">
        <v>0</v>
      </c>
      <c r="K143" s="99">
        <v>0</v>
      </c>
      <c r="L143" s="99">
        <v>0</v>
      </c>
      <c r="M143" s="99">
        <v>0</v>
      </c>
      <c r="N143" s="99">
        <v>0</v>
      </c>
      <c r="O143" s="99">
        <v>0</v>
      </c>
      <c r="P143" s="99">
        <v>0</v>
      </c>
      <c r="Q143" s="99">
        <v>0</v>
      </c>
      <c r="R143" s="99">
        <v>0</v>
      </c>
      <c r="S143" s="99">
        <v>0</v>
      </c>
      <c r="T143" s="99">
        <v>0</v>
      </c>
      <c r="U143" s="131" t="s">
        <v>209</v>
      </c>
      <c r="V143" s="6"/>
      <c r="W143"/>
      <c r="X143"/>
      <c r="Y143"/>
      <c r="Z143"/>
      <c r="AA143"/>
      <c r="AB143"/>
    </row>
    <row r="144" spans="1:28" ht="15.5" customHeight="1" x14ac:dyDescent="0.25">
      <c r="A144"/>
      <c r="B144" s="72" t="s">
        <v>211</v>
      </c>
      <c r="C144" s="31" t="s">
        <v>208</v>
      </c>
      <c r="D144" s="99">
        <v>1</v>
      </c>
      <c r="E144" s="99">
        <v>1</v>
      </c>
      <c r="F144" s="99">
        <v>1</v>
      </c>
      <c r="G144" s="99">
        <v>1</v>
      </c>
      <c r="H144" s="99">
        <v>1</v>
      </c>
      <c r="I144" s="99">
        <v>1</v>
      </c>
      <c r="J144" s="99">
        <v>1</v>
      </c>
      <c r="K144" s="99">
        <v>1</v>
      </c>
      <c r="L144" s="99">
        <v>1</v>
      </c>
      <c r="M144" s="99">
        <v>1</v>
      </c>
      <c r="N144" s="99">
        <v>1</v>
      </c>
      <c r="O144" s="99">
        <v>1</v>
      </c>
      <c r="P144" s="99">
        <v>1</v>
      </c>
      <c r="Q144" s="99">
        <v>1</v>
      </c>
      <c r="R144" s="99">
        <v>1</v>
      </c>
      <c r="S144" s="99">
        <v>1</v>
      </c>
      <c r="T144" s="99">
        <v>1.5</v>
      </c>
      <c r="U144" s="131" t="s">
        <v>209</v>
      </c>
      <c r="V144" s="6"/>
      <c r="W144"/>
      <c r="X144"/>
      <c r="Y144"/>
      <c r="Z144"/>
      <c r="AA144"/>
      <c r="AB144"/>
    </row>
    <row r="145" spans="1:41" ht="15.5" customHeight="1" x14ac:dyDescent="0.25">
      <c r="A145"/>
      <c r="B145" s="85" t="s">
        <v>212</v>
      </c>
      <c r="C145" s="31" t="s">
        <v>208</v>
      </c>
      <c r="D145" s="99">
        <v>2</v>
      </c>
      <c r="E145" s="99">
        <v>2</v>
      </c>
      <c r="F145" s="99">
        <v>2</v>
      </c>
      <c r="G145" s="99">
        <v>2</v>
      </c>
      <c r="H145" s="99">
        <v>2</v>
      </c>
      <c r="I145" s="99">
        <v>2</v>
      </c>
      <c r="J145" s="99">
        <v>2</v>
      </c>
      <c r="K145" s="99">
        <v>2</v>
      </c>
      <c r="L145" s="99">
        <v>2</v>
      </c>
      <c r="M145" s="99">
        <v>2</v>
      </c>
      <c r="N145" s="99">
        <v>2</v>
      </c>
      <c r="O145" s="99">
        <v>2</v>
      </c>
      <c r="P145" s="99">
        <v>2</v>
      </c>
      <c r="Q145" s="99">
        <v>2</v>
      </c>
      <c r="R145" s="99">
        <v>2</v>
      </c>
      <c r="S145" s="99">
        <v>2</v>
      </c>
      <c r="T145" s="99">
        <v>2</v>
      </c>
      <c r="U145" s="131" t="s">
        <v>209</v>
      </c>
      <c r="V145" s="6"/>
      <c r="W145"/>
      <c r="X145"/>
      <c r="Y145"/>
      <c r="Z145"/>
      <c r="AA145"/>
      <c r="AB145"/>
    </row>
    <row r="146" spans="1:41" ht="15.5" customHeight="1" x14ac:dyDescent="0.25">
      <c r="A146"/>
      <c r="B146" s="85" t="s">
        <v>213</v>
      </c>
      <c r="C146" s="31" t="s">
        <v>208</v>
      </c>
      <c r="D146" s="99">
        <v>0</v>
      </c>
      <c r="E146" s="99">
        <v>0</v>
      </c>
      <c r="F146" s="99">
        <v>0</v>
      </c>
      <c r="G146" s="99">
        <v>0</v>
      </c>
      <c r="H146" s="99">
        <v>0</v>
      </c>
      <c r="I146" s="99">
        <v>0</v>
      </c>
      <c r="J146" s="99">
        <v>0</v>
      </c>
      <c r="K146" s="99">
        <v>0</v>
      </c>
      <c r="L146" s="99">
        <v>0</v>
      </c>
      <c r="M146" s="99">
        <v>0</v>
      </c>
      <c r="N146" s="99">
        <v>0</v>
      </c>
      <c r="O146" s="99">
        <v>0</v>
      </c>
      <c r="P146" s="99">
        <v>1</v>
      </c>
      <c r="Q146" s="99">
        <v>1</v>
      </c>
      <c r="R146" s="99">
        <v>1</v>
      </c>
      <c r="S146" s="99">
        <v>1</v>
      </c>
      <c r="T146" s="99">
        <v>1</v>
      </c>
      <c r="U146" s="131" t="s">
        <v>209</v>
      </c>
      <c r="V146" s="6"/>
      <c r="W146"/>
      <c r="X146"/>
      <c r="Y146"/>
      <c r="Z146"/>
      <c r="AA146"/>
      <c r="AB146"/>
    </row>
    <row r="147" spans="1:41" ht="15.5" customHeight="1" x14ac:dyDescent="0.25">
      <c r="A147"/>
      <c r="B147" s="72" t="s">
        <v>214</v>
      </c>
      <c r="C147" s="31" t="s">
        <v>208</v>
      </c>
      <c r="D147" s="99">
        <v>1</v>
      </c>
      <c r="E147" s="99">
        <v>1</v>
      </c>
      <c r="F147" s="99">
        <v>1</v>
      </c>
      <c r="G147" s="99">
        <v>1</v>
      </c>
      <c r="H147" s="99">
        <v>1</v>
      </c>
      <c r="I147" s="99">
        <v>1</v>
      </c>
      <c r="J147" s="99">
        <v>1</v>
      </c>
      <c r="K147" s="99">
        <v>1</v>
      </c>
      <c r="L147" s="99">
        <v>1</v>
      </c>
      <c r="M147" s="99">
        <v>1</v>
      </c>
      <c r="N147" s="99">
        <v>1</v>
      </c>
      <c r="O147" s="99">
        <v>1</v>
      </c>
      <c r="P147" s="99">
        <v>1</v>
      </c>
      <c r="Q147" s="99">
        <v>1</v>
      </c>
      <c r="R147" s="99">
        <v>1</v>
      </c>
      <c r="S147" s="99">
        <v>1</v>
      </c>
      <c r="T147" s="99">
        <v>1.5</v>
      </c>
      <c r="U147" s="131" t="s">
        <v>209</v>
      </c>
      <c r="V147" s="6"/>
      <c r="W147"/>
      <c r="X147"/>
      <c r="Y147"/>
      <c r="Z147"/>
      <c r="AA147"/>
      <c r="AB147"/>
    </row>
    <row r="148" spans="1:41" ht="15.5" customHeight="1" x14ac:dyDescent="0.25">
      <c r="A148"/>
      <c r="B148" s="80"/>
      <c r="C148" s="31"/>
      <c r="D148" s="76"/>
      <c r="E148" s="76"/>
      <c r="F148" s="76"/>
      <c r="G148" s="76"/>
      <c r="H148" s="76"/>
      <c r="I148" s="76"/>
      <c r="J148" s="76"/>
      <c r="K148" s="76"/>
      <c r="L148" s="76"/>
      <c r="M148" s="76"/>
      <c r="N148" s="76"/>
      <c r="O148" s="76"/>
      <c r="P148"/>
      <c r="Q148"/>
      <c r="R148"/>
      <c r="S148"/>
      <c r="T148"/>
      <c r="U148" s="46"/>
      <c r="V148" s="6"/>
      <c r="W148"/>
      <c r="X148"/>
      <c r="Y148"/>
      <c r="Z148"/>
      <c r="AA148"/>
      <c r="AB148"/>
    </row>
    <row r="149" spans="1:41" ht="15.5" customHeight="1" x14ac:dyDescent="0.25">
      <c r="A149"/>
      <c r="B149" s="97" t="s">
        <v>215</v>
      </c>
      <c r="C149" s="31"/>
      <c r="D149" s="79"/>
      <c r="E149" s="88"/>
      <c r="F149" s="79"/>
      <c r="G149" s="79"/>
      <c r="H149" s="76"/>
      <c r="I149" s="76"/>
      <c r="J149" s="76"/>
      <c r="K149" s="76"/>
      <c r="L149" s="76"/>
      <c r="M149" s="76"/>
      <c r="N149" s="76"/>
      <c r="O149" s="76"/>
      <c r="P149"/>
      <c r="Q149"/>
      <c r="R149"/>
      <c r="S149"/>
      <c r="T149"/>
      <c r="U149" s="46"/>
      <c r="V149" s="6"/>
      <c r="W149"/>
      <c r="X149"/>
      <c r="Y149"/>
      <c r="Z149"/>
      <c r="AA149"/>
      <c r="AB149"/>
    </row>
    <row r="150" spans="1:41" ht="15.5" customHeight="1" x14ac:dyDescent="0.25">
      <c r="A150"/>
      <c r="B150" s="72" t="s">
        <v>216</v>
      </c>
      <c r="C150" s="31" t="s">
        <v>217</v>
      </c>
      <c r="D150" s="83">
        <v>64531.548757170167</v>
      </c>
      <c r="E150" s="22" t="s">
        <v>218</v>
      </c>
      <c r="F150" s="34"/>
      <c r="G150"/>
      <c r="H150" s="76"/>
      <c r="I150" s="76"/>
      <c r="J150" s="76"/>
      <c r="K150" s="76"/>
      <c r="L150" s="76"/>
      <c r="M150" s="76"/>
      <c r="N150" s="76"/>
      <c r="O150" s="76"/>
      <c r="P150"/>
      <c r="Q150"/>
      <c r="R150"/>
      <c r="S150"/>
      <c r="T150"/>
      <c r="U150" s="46" t="s">
        <v>219</v>
      </c>
      <c r="V150" s="6"/>
      <c r="W150"/>
      <c r="X150"/>
      <c r="Y150"/>
      <c r="Z150"/>
      <c r="AA150"/>
      <c r="AB150"/>
    </row>
    <row r="151" spans="1:41" ht="15.5" customHeight="1" x14ac:dyDescent="0.25">
      <c r="A151"/>
      <c r="B151" s="72" t="s">
        <v>207</v>
      </c>
      <c r="C151" s="31" t="s">
        <v>217</v>
      </c>
      <c r="D151" s="83">
        <v>70000</v>
      </c>
      <c r="E151" s="22" t="s">
        <v>218</v>
      </c>
      <c r="F151" s="34"/>
      <c r="G151"/>
      <c r="H151" s="76"/>
      <c r="I151" s="76"/>
      <c r="J151" s="76"/>
      <c r="K151" s="76"/>
      <c r="L151" s="76"/>
      <c r="M151" s="76"/>
      <c r="N151" s="76"/>
      <c r="O151" s="76"/>
      <c r="P151"/>
      <c r="Q151"/>
      <c r="R151"/>
      <c r="S151"/>
      <c r="T151"/>
      <c r="U151" s="46" t="s">
        <v>219</v>
      </c>
      <c r="V151" s="6"/>
      <c r="W151"/>
      <c r="X151"/>
      <c r="Y151"/>
      <c r="Z151"/>
      <c r="AA151"/>
      <c r="AB151"/>
    </row>
    <row r="152" spans="1:41" ht="15.5" customHeight="1" x14ac:dyDescent="0.25">
      <c r="A152"/>
      <c r="B152" s="72" t="s">
        <v>210</v>
      </c>
      <c r="C152" s="31" t="s">
        <v>217</v>
      </c>
      <c r="D152" s="83">
        <v>90000</v>
      </c>
      <c r="E152" s="22" t="s">
        <v>218</v>
      </c>
      <c r="F152" s="34"/>
      <c r="G152"/>
      <c r="H152" s="76"/>
      <c r="I152" s="76"/>
      <c r="J152" s="76"/>
      <c r="K152" s="76"/>
      <c r="L152" s="76"/>
      <c r="M152" s="76"/>
      <c r="N152" s="76"/>
      <c r="O152" s="76"/>
      <c r="P152"/>
      <c r="Q152"/>
      <c r="R152"/>
      <c r="S152"/>
      <c r="T152"/>
      <c r="U152" s="46" t="s">
        <v>219</v>
      </c>
      <c r="V152" s="6"/>
      <c r="W152"/>
      <c r="X152"/>
      <c r="Y152"/>
      <c r="Z152"/>
      <c r="AA152"/>
      <c r="AB152"/>
    </row>
    <row r="153" spans="1:41" ht="15.5" customHeight="1" x14ac:dyDescent="0.25">
      <c r="A153"/>
      <c r="B153" s="85" t="s">
        <v>212</v>
      </c>
      <c r="C153" s="31" t="s">
        <v>217</v>
      </c>
      <c r="D153" s="83">
        <v>64531.548757170167</v>
      </c>
      <c r="E153" s="22" t="s">
        <v>218</v>
      </c>
      <c r="F153" s="34"/>
      <c r="G153"/>
      <c r="H153" s="76"/>
      <c r="I153" s="76"/>
      <c r="J153" s="76"/>
      <c r="K153" s="76"/>
      <c r="L153" s="76"/>
      <c r="M153" s="76"/>
      <c r="N153" s="76"/>
      <c r="O153" s="76"/>
      <c r="P153"/>
      <c r="Q153"/>
      <c r="R153"/>
      <c r="S153"/>
      <c r="T153"/>
      <c r="U153" s="46" t="s">
        <v>219</v>
      </c>
      <c r="V153" s="6"/>
      <c r="W153"/>
      <c r="X153"/>
      <c r="Y153"/>
      <c r="Z153"/>
      <c r="AA153"/>
      <c r="AB153"/>
    </row>
    <row r="154" spans="1:41" ht="15.5" customHeight="1" x14ac:dyDescent="0.25">
      <c r="A154"/>
      <c r="B154" s="85" t="s">
        <v>213</v>
      </c>
      <c r="C154" s="31" t="s">
        <v>217</v>
      </c>
      <c r="D154" s="83">
        <v>50000</v>
      </c>
      <c r="E154" s="22" t="s">
        <v>218</v>
      </c>
      <c r="F154" s="34"/>
      <c r="G154"/>
      <c r="H154" s="76"/>
      <c r="I154" s="76"/>
      <c r="J154" s="76"/>
      <c r="K154" s="76"/>
      <c r="L154" s="76"/>
      <c r="M154" s="76"/>
      <c r="N154" s="76"/>
      <c r="O154" s="76"/>
      <c r="P154"/>
      <c r="Q154"/>
      <c r="R154"/>
      <c r="S154"/>
      <c r="T154"/>
      <c r="U154" s="46" t="s">
        <v>219</v>
      </c>
      <c r="V154" s="6"/>
      <c r="W154"/>
      <c r="X154"/>
      <c r="Y154"/>
      <c r="Z154"/>
      <c r="AA154"/>
      <c r="AB154"/>
    </row>
    <row r="155" spans="1:41" ht="15.5" customHeight="1" x14ac:dyDescent="0.25">
      <c r="A155"/>
      <c r="B155" s="85" t="s">
        <v>214</v>
      </c>
      <c r="C155" s="31" t="s">
        <v>217</v>
      </c>
      <c r="D155" s="83">
        <v>64531.548757170167</v>
      </c>
      <c r="E155" s="81" t="s">
        <v>218</v>
      </c>
      <c r="F155" s="34"/>
      <c r="G155"/>
      <c r="H155" s="76"/>
      <c r="I155" s="76"/>
      <c r="J155" s="76"/>
      <c r="K155" s="76"/>
      <c r="L155" s="76"/>
      <c r="M155" s="76"/>
      <c r="N155" s="76"/>
      <c r="O155" s="76"/>
      <c r="P155"/>
      <c r="Q155"/>
      <c r="R155"/>
      <c r="S155"/>
      <c r="T155"/>
      <c r="U155" s="46" t="s">
        <v>219</v>
      </c>
      <c r="V155" s="6"/>
      <c r="W155"/>
      <c r="X155"/>
      <c r="Y155"/>
      <c r="Z155"/>
      <c r="AA155"/>
      <c r="AB155"/>
    </row>
    <row r="156" spans="1:41" ht="15.5" customHeight="1" x14ac:dyDescent="0.25">
      <c r="A156"/>
      <c r="B156" s="80"/>
      <c r="C156" s="31"/>
      <c r="D156" s="76"/>
      <c r="E156" s="76"/>
      <c r="F156" s="76"/>
      <c r="G156" s="76"/>
      <c r="H156" s="76"/>
      <c r="I156" s="76"/>
      <c r="J156" s="76"/>
      <c r="K156" s="76"/>
      <c r="L156" s="76"/>
      <c r="M156" s="76"/>
      <c r="N156" s="76"/>
      <c r="O156" s="76"/>
      <c r="P156"/>
      <c r="Q156"/>
      <c r="R156"/>
      <c r="S156"/>
      <c r="T156"/>
      <c r="U156" s="46"/>
      <c r="V156" s="6"/>
      <c r="W156"/>
      <c r="X156"/>
      <c r="Y156"/>
      <c r="Z156"/>
      <c r="AA156"/>
      <c r="AB156"/>
    </row>
    <row r="157" spans="1:41" ht="15.5" customHeight="1" x14ac:dyDescent="0.25">
      <c r="A157" s="22"/>
      <c r="B157" s="71" t="s">
        <v>220</v>
      </c>
      <c r="C157" s="60"/>
      <c r="D157" s="61"/>
      <c r="E157" s="61"/>
      <c r="F157" s="61"/>
      <c r="G157" s="61"/>
      <c r="H157" s="61"/>
      <c r="I157" s="61"/>
      <c r="J157" s="61"/>
      <c r="K157" s="61"/>
      <c r="L157" s="61"/>
      <c r="M157" s="61"/>
      <c r="N157" s="61"/>
      <c r="O157" s="61"/>
      <c r="P157" s="61"/>
      <c r="Q157" s="61"/>
      <c r="R157" s="61"/>
      <c r="S157" s="61"/>
      <c r="T157" s="61"/>
      <c r="U157" s="216"/>
      <c r="V157" s="216"/>
      <c r="W157" s="61"/>
      <c r="X157" s="61"/>
      <c r="Y157" s="61"/>
      <c r="Z157" s="61"/>
      <c r="AA157" s="22"/>
      <c r="AB157" s="22"/>
      <c r="AC157" s="22"/>
      <c r="AD157" s="22"/>
      <c r="AE157" s="22"/>
      <c r="AF157" s="22"/>
      <c r="AG157" s="22"/>
      <c r="AH157" s="22"/>
      <c r="AI157" s="22"/>
      <c r="AJ157" s="22"/>
      <c r="AK157" s="22"/>
      <c r="AL157" s="22"/>
      <c r="AM157" s="22"/>
      <c r="AN157" s="22"/>
      <c r="AO157" s="22"/>
    </row>
    <row r="158" spans="1:41" ht="15.5" customHeight="1" x14ac:dyDescent="0.25">
      <c r="A158"/>
      <c r="B158" s="1"/>
      <c r="C158" s="31"/>
      <c r="D158"/>
      <c r="E158"/>
      <c r="F158"/>
      <c r="G158"/>
      <c r="H158"/>
      <c r="I158"/>
      <c r="J158"/>
      <c r="K158"/>
      <c r="L158"/>
      <c r="M158"/>
      <c r="N158"/>
      <c r="O158"/>
      <c r="P158"/>
      <c r="Q158"/>
      <c r="R158"/>
      <c r="S158"/>
      <c r="T158"/>
      <c r="U158" s="6"/>
      <c r="V158" s="6"/>
      <c r="W158"/>
      <c r="X158"/>
      <c r="Y158"/>
      <c r="Z158"/>
      <c r="AA158"/>
      <c r="AB158"/>
    </row>
    <row r="159" spans="1:41" ht="15.5" customHeight="1" x14ac:dyDescent="0.25">
      <c r="A159"/>
      <c r="B159" s="80" t="s">
        <v>175</v>
      </c>
      <c r="C159" s="31"/>
      <c r="D159" s="79" t="s">
        <v>16</v>
      </c>
      <c r="E159" s="79" t="s">
        <v>17</v>
      </c>
      <c r="F159" s="79" t="s">
        <v>18</v>
      </c>
      <c r="G159" s="79" t="s">
        <v>19</v>
      </c>
      <c r="H159" s="79" t="s">
        <v>20</v>
      </c>
      <c r="I159" s="79" t="s">
        <v>21</v>
      </c>
      <c r="J159" s="88" t="s">
        <v>22</v>
      </c>
      <c r="K159" s="79" t="s">
        <v>23</v>
      </c>
      <c r="L159" s="79" t="s">
        <v>24</v>
      </c>
      <c r="M159" s="79" t="s">
        <v>25</v>
      </c>
      <c r="N159" s="79" t="s">
        <v>26</v>
      </c>
      <c r="O159" s="79" t="s">
        <v>27</v>
      </c>
      <c r="P159" s="79" t="s">
        <v>28</v>
      </c>
      <c r="Q159" s="79" t="s">
        <v>29</v>
      </c>
      <c r="R159" s="79" t="s">
        <v>30</v>
      </c>
      <c r="S159" s="79" t="s">
        <v>31</v>
      </c>
      <c r="T159" s="79" t="s">
        <v>32</v>
      </c>
      <c r="U159" s="6"/>
      <c r="V159" s="6"/>
      <c r="W159"/>
      <c r="X159"/>
      <c r="Y159"/>
      <c r="Z159"/>
      <c r="AA159"/>
      <c r="AB159"/>
    </row>
    <row r="160" spans="1:41" ht="15.5" customHeight="1" x14ac:dyDescent="0.25">
      <c r="A160"/>
      <c r="B160" s="72" t="s">
        <v>176</v>
      </c>
      <c r="C160" s="31" t="s">
        <v>15</v>
      </c>
      <c r="D160" s="92">
        <v>0.33333333333333331</v>
      </c>
      <c r="E160" s="92">
        <v>0.33333333333333331</v>
      </c>
      <c r="F160" s="92">
        <v>0.33333333333333331</v>
      </c>
      <c r="G160" s="92">
        <v>0.33333333333333331</v>
      </c>
      <c r="H160" s="92">
        <v>0.33333333333333331</v>
      </c>
      <c r="I160" s="92">
        <v>0.33333333333333331</v>
      </c>
      <c r="J160" s="92">
        <v>0.33333333333333331</v>
      </c>
      <c r="K160" s="92">
        <v>0.33333333333333331</v>
      </c>
      <c r="L160" s="92">
        <v>0.33333333333333331</v>
      </c>
      <c r="M160" s="92">
        <v>0.33333333333333331</v>
      </c>
      <c r="N160" s="92">
        <v>0.33333333333333331</v>
      </c>
      <c r="O160" s="92">
        <v>0.33333333333333331</v>
      </c>
      <c r="P160" s="92">
        <v>0.33333333333333331</v>
      </c>
      <c r="Q160" s="92">
        <v>0.33333333333333331</v>
      </c>
      <c r="R160" s="92">
        <v>0.33333333333333331</v>
      </c>
      <c r="S160" s="92">
        <v>0.33333333333333331</v>
      </c>
      <c r="T160" s="92">
        <v>0.33333333333333331</v>
      </c>
      <c r="U160" s="221" t="s">
        <v>177</v>
      </c>
      <c r="V160" s="6"/>
      <c r="W160"/>
      <c r="X160"/>
      <c r="Y160"/>
      <c r="Z160"/>
      <c r="AA160"/>
      <c r="AB160"/>
    </row>
    <row r="161" spans="1:28" ht="15.5" customHeight="1" x14ac:dyDescent="0.25">
      <c r="A161"/>
      <c r="B161" s="72" t="s">
        <v>178</v>
      </c>
      <c r="C161" s="31" t="s">
        <v>33</v>
      </c>
      <c r="D161" s="343">
        <f>IF(SUM($D$47:$O$47,$D$79:$O$79,$D$111:$O$111)=0,0,'5Y – Cost Model'!$C$7*D79/SUM($D$47:$O$47,$D$79:$O$79,$D$111:$O$111)/2)</f>
        <v>0</v>
      </c>
      <c r="E161" s="343">
        <f>IF(SUM($D$47:$O$47,$D$79:$O$79,$D$111:$O$111)=0,0,'5Y – Cost Model'!$C$7*E79/SUM($D$47:$O$47,$D$79:$O$79,$D$111:$O$111)/2)</f>
        <v>0</v>
      </c>
      <c r="F161" s="343">
        <f>IF(SUM($D$47:$O$47,$D$79:$O$79,$D$111:$O$111)=0,0,'5Y – Cost Model'!$C$7*F79/SUM($D$47:$O$47,$D$79:$O$79,$D$111:$O$111)/2)</f>
        <v>0</v>
      </c>
      <c r="G161" s="343">
        <f>IF(SUM($D$47:$O$47,$D$79:$O$79,$D$111:$O$111)=0,0,'5Y – Cost Model'!$C$7*G79/SUM($D$47:$O$47,$D$79:$O$79,$D$111:$O$111)/2)</f>
        <v>0</v>
      </c>
      <c r="H161" s="343">
        <f>IF(SUM($D$47:$O$47,$D$79:$O$79,$D$111:$O$111)=0,0,'5Y – Cost Model'!$C$7*H79/SUM($D$47:$O$47,$D$79:$O$79,$D$111:$O$111)/2)</f>
        <v>0</v>
      </c>
      <c r="I161" s="343">
        <f>IF(SUM($D$47:$O$47,$D$79:$O$79,$D$111:$O$111)=0,0,'5Y – Cost Model'!$C$7*I79/SUM($D$47:$O$47,$D$79:$O$79,$D$111:$O$111)/2)</f>
        <v>0</v>
      </c>
      <c r="J161" s="343">
        <f>IF(SUM($D$47:$O$47,$D$79:$O$79,$D$111:$O$111)=0,0,'5Y – Cost Model'!$C$7*J79/SUM($D$47:$O$47,$D$79:$O$79,$D$111:$O$111)/2)</f>
        <v>0</v>
      </c>
      <c r="K161" s="343">
        <f>IF(SUM($D$47:$O$47,$D$79:$O$79,$D$111:$O$111)=0,0,'5Y – Cost Model'!$C$7*K79/SUM($D$47:$O$47,$D$79:$O$79,$D$111:$O$111)/2)</f>
        <v>0</v>
      </c>
      <c r="L161" s="343">
        <f>IF(SUM($D$47:$O$47,$D$79:$O$79,$D$111:$O$111)=0,0,'5Y – Cost Model'!$C$7*L79/SUM($D$47:$O$47,$D$79:$O$79,$D$111:$O$111)/2)</f>
        <v>0</v>
      </c>
      <c r="M161" s="343">
        <f>IF(SUM($D$47:$O$47,$D$79:$O$79,$D$111:$O$111)=0,0,'5Y – Cost Model'!$C$7*M79/SUM($D$47:$O$47,$D$79:$O$79,$D$111:$O$111)/2)</f>
        <v>0</v>
      </c>
      <c r="N161" s="343">
        <f>IF(SUM($D$47:$O$47,$D$79:$O$79,$D$111:$O$111)=0,0,'5Y – Cost Model'!$C$7*N79/SUM($D$47:$O$47,$D$79:$O$79,$D$111:$O$111)/2)</f>
        <v>11625</v>
      </c>
      <c r="O161" s="343">
        <f>IF(SUM($D$47:$O$47,$D$79:$O$79,$D$111:$O$111)=0,0,'5Y – Cost Model'!$C$7*O79/SUM($D$47:$O$47,$D$79:$O$79,$D$111:$O$111)/2)</f>
        <v>47250</v>
      </c>
      <c r="P161" s="343">
        <f>IF(SUM($P$47:$S$47,$P$79:$S$79,$P$111:$S$111)=0,0,'5Y – Cost Model'!$D$7*P79/SUM($P$47:$S$47,$P$79:$S$79,$P$111:$S$111)/2)</f>
        <v>1430851.8026841746</v>
      </c>
      <c r="Q161" s="343">
        <f>IF(SUM($P$47:$S$47,$P$79:$S$79,$P$111:$S$111)=0,0,'5Y – Cost Model'!$D$7*Q79/SUM($P$47:$S$47,$P$79:$S$79,$P$111:$S$111)/2)</f>
        <v>2833697.6092304029</v>
      </c>
      <c r="R161" s="343">
        <f>IF(SUM($P$47:$S$47,$P$79:$S$79,$P$111:$S$111)=0,0,'5Y – Cost Model'!$D$7*R79/SUM($P$47:$S$47,$P$79:$S$79,$P$111:$S$111)/2)</f>
        <v>3078113.5755252084</v>
      </c>
      <c r="S161" s="343">
        <f>IF(SUM($P$47:$S$47,$P$79:$S$79,$P$111:$S$111)=0,0,'5Y – Cost Model'!$D$7*S79/SUM($P$47:$S$47,$P$79:$S$79,$P$111:$S$111)/2)</f>
        <v>3391271.5323404279</v>
      </c>
      <c r="T161" s="343">
        <f>IF(SUM($T$47,$T$79,$T$111)=0,0,'5Y – Cost Model'!$E$7*T79/SUM($T$47,$T$79,$T$111)/2)</f>
        <v>25171978.113279272</v>
      </c>
      <c r="U161" s="6" t="s">
        <v>179</v>
      </c>
      <c r="V161" s="6"/>
      <c r="W161"/>
      <c r="X161"/>
      <c r="Y161"/>
      <c r="Z161"/>
      <c r="AA161"/>
      <c r="AB161"/>
    </row>
    <row r="162" spans="1:28" ht="15.5" customHeight="1" x14ac:dyDescent="0.25">
      <c r="A162"/>
      <c r="B162" s="72" t="s">
        <v>180</v>
      </c>
      <c r="C162" s="31" t="s">
        <v>15</v>
      </c>
      <c r="D162" s="92">
        <v>0.33333333333333331</v>
      </c>
      <c r="E162" s="92">
        <v>0.33333333333333331</v>
      </c>
      <c r="F162" s="92">
        <v>0.33333333333333331</v>
      </c>
      <c r="G162" s="92">
        <v>0.33333333333333331</v>
      </c>
      <c r="H162" s="92">
        <v>0.33333333333333331</v>
      </c>
      <c r="I162" s="92">
        <v>0.33333333333333331</v>
      </c>
      <c r="J162" s="92">
        <v>0.33333333333333331</v>
      </c>
      <c r="K162" s="92">
        <v>0.33333333333333331</v>
      </c>
      <c r="L162" s="92">
        <v>0.33333333333333331</v>
      </c>
      <c r="M162" s="92">
        <v>0.33333333333333331</v>
      </c>
      <c r="N162" s="92">
        <v>0.33333333333333331</v>
      </c>
      <c r="O162" s="92">
        <v>0.33333333333333331</v>
      </c>
      <c r="P162" s="92">
        <v>0.33333333333333331</v>
      </c>
      <c r="Q162" s="92">
        <v>0.33333333333333331</v>
      </c>
      <c r="R162" s="92">
        <v>0.33333333333333331</v>
      </c>
      <c r="S162" s="92">
        <v>0.33333333333333331</v>
      </c>
      <c r="T162" s="92">
        <v>0.33333333333333331</v>
      </c>
      <c r="U162" s="221" t="s">
        <v>177</v>
      </c>
      <c r="V162" s="6"/>
      <c r="W162"/>
      <c r="X162"/>
      <c r="Y162"/>
      <c r="Z162"/>
      <c r="AA162"/>
      <c r="AB162"/>
    </row>
    <row r="163" spans="1:28" ht="15.5" customHeight="1" x14ac:dyDescent="0.25">
      <c r="A163"/>
      <c r="B163" s="72" t="s">
        <v>181</v>
      </c>
      <c r="C163" s="31" t="s">
        <v>33</v>
      </c>
      <c r="D163" s="343">
        <f>IF(SUM($D$47:$O$47,$D$79:$O$79,$D$111:$O$111)=0,0,'5Y – Cost Model'!$C$7*D79/SUM($D$47:$O$47,$D$79:$O$79,$D$111:$O$111)/2)</f>
        <v>0</v>
      </c>
      <c r="E163" s="343">
        <f>IF(SUM($D$47:$O$47,$D$79:$O$79,$D$111:$O$111)=0,0,'5Y – Cost Model'!$C$7*E79/SUM($D$47:$O$47,$D$79:$O$79,$D$111:$O$111)/2)</f>
        <v>0</v>
      </c>
      <c r="F163" s="343">
        <f>IF(SUM($D$47:$O$47,$D$79:$O$79,$D$111:$O$111)=0,0,'5Y – Cost Model'!$C$7*F79/SUM($D$47:$O$47,$D$79:$O$79,$D$111:$O$111)/2)</f>
        <v>0</v>
      </c>
      <c r="G163" s="343">
        <f>IF(SUM($D$47:$O$47,$D$79:$O$79,$D$111:$O$111)=0,0,'5Y – Cost Model'!$C$7*G79/SUM($D$47:$O$47,$D$79:$O$79,$D$111:$O$111)/2)</f>
        <v>0</v>
      </c>
      <c r="H163" s="343">
        <f>IF(SUM($D$47:$O$47,$D$79:$O$79,$D$111:$O$111)=0,0,'5Y – Cost Model'!$C$7*H79/SUM($D$47:$O$47,$D$79:$O$79,$D$111:$O$111)/2)</f>
        <v>0</v>
      </c>
      <c r="I163" s="343">
        <f>IF(SUM($D$47:$O$47,$D$79:$O$79,$D$111:$O$111)=0,0,'5Y – Cost Model'!$C$7*I79/SUM($D$47:$O$47,$D$79:$O$79,$D$111:$O$111)/2)</f>
        <v>0</v>
      </c>
      <c r="J163" s="343">
        <f>IF(SUM($D$47:$O$47,$D$79:$O$79,$D$111:$O$111)=0,0,'5Y – Cost Model'!$C$7*J79/SUM($D$47:$O$47,$D$79:$O$79,$D$111:$O$111)/2)</f>
        <v>0</v>
      </c>
      <c r="K163" s="343">
        <f>IF(SUM($D$47:$O$47,$D$79:$O$79,$D$111:$O$111)=0,0,'5Y – Cost Model'!$C$7*K79/SUM($D$47:$O$47,$D$79:$O$79,$D$111:$O$111)/2)</f>
        <v>0</v>
      </c>
      <c r="L163" s="343">
        <f>IF(SUM($D$47:$O$47,$D$79:$O$79,$D$111:$O$111)=0,0,'5Y – Cost Model'!$C$7*L79/SUM($D$47:$O$47,$D$79:$O$79,$D$111:$O$111)/2)</f>
        <v>0</v>
      </c>
      <c r="M163" s="343">
        <f>IF(SUM($D$47:$O$47,$D$79:$O$79,$D$111:$O$111)=0,0,'5Y – Cost Model'!$C$7*M79/SUM($D$47:$O$47,$D$79:$O$79,$D$111:$O$111)/2)</f>
        <v>0</v>
      </c>
      <c r="N163" s="343">
        <f>IF(SUM($D$47:$O$47,$D$79:$O$79,$D$111:$O$111)=0,0,'5Y – Cost Model'!$C$7*N79/SUM($D$47:$O$47,$D$79:$O$79,$D$111:$O$111)/2)</f>
        <v>11625</v>
      </c>
      <c r="O163" s="343">
        <f>IF(SUM($D$47:$O$47,$D$79:$O$79,$D$111:$O$111)=0,0,'5Y – Cost Model'!$C$7*O79/SUM($D$47:$O$47,$D$79:$O$79,$D$111:$O$111)/2)</f>
        <v>47250</v>
      </c>
      <c r="P163" s="343">
        <f>IF(SUM($P$47:$S$47,$P$79:$S$79,$P$111:$S$111)=0,0,'5Y – Cost Model'!$D$7*P79/SUM($P$47:$S$47,$P$79:$S$79,$P$111:$S$111)/2)</f>
        <v>1430851.8026841746</v>
      </c>
      <c r="Q163" s="343">
        <f>IF(SUM($P$47:$S$47,$P$79:$S$79,$P$111:$S$111)=0,0,'5Y – Cost Model'!$D$7*Q79/SUM($P$47:$S$47,$P$79:$S$79,$P$111:$S$111)/2)</f>
        <v>2833697.6092304029</v>
      </c>
      <c r="R163" s="343">
        <f>IF(SUM($P$47:$S$47,$P$79:$S$79,$P$111:$S$111)=0,0,'5Y – Cost Model'!$D$7*R79/SUM($P$47:$S$47,$P$79:$S$79,$P$111:$S$111)/2)</f>
        <v>3078113.5755252084</v>
      </c>
      <c r="S163" s="343">
        <f>IF(SUM($P$47:$S$47,$P$79:$S$79,$P$111:$S$111)=0,0,'5Y – Cost Model'!$D$7*S79/SUM($P$47:$S$47,$P$79:$S$79,$P$111:$S$111)/2)</f>
        <v>3391271.5323404279</v>
      </c>
      <c r="T163" s="343">
        <f>IF(SUM($T$47,$T$79,$T$111)=0,0,'5Y – Cost Model'!$E$7*T79/SUM($T$47,$T$79,$T$111)/2)</f>
        <v>25171978.113279272</v>
      </c>
      <c r="U163" s="6" t="s">
        <v>179</v>
      </c>
      <c r="V163" s="6"/>
      <c r="W163"/>
      <c r="X163"/>
      <c r="Y163"/>
      <c r="Z163"/>
      <c r="AA163"/>
      <c r="AB163"/>
    </row>
    <row r="164" spans="1:28" ht="15.5" customHeight="1" x14ac:dyDescent="0.25">
      <c r="A164"/>
      <c r="B164" s="80"/>
      <c r="C164" s="31"/>
      <c r="D164"/>
      <c r="E164"/>
      <c r="F164"/>
      <c r="G164"/>
      <c r="H164"/>
      <c r="I164"/>
      <c r="J164"/>
      <c r="K164"/>
      <c r="L164"/>
      <c r="M164"/>
      <c r="N164"/>
      <c r="O164"/>
      <c r="P164"/>
      <c r="Q164"/>
      <c r="R164"/>
      <c r="S164"/>
      <c r="T164"/>
      <c r="U164" s="6"/>
      <c r="V164" s="6"/>
      <c r="W164"/>
      <c r="X164"/>
      <c r="Y164"/>
      <c r="Z164"/>
      <c r="AA164"/>
      <c r="AB164"/>
    </row>
    <row r="165" spans="1:28" ht="15.5" customHeight="1" x14ac:dyDescent="0.25">
      <c r="A165"/>
      <c r="B165" s="100" t="s">
        <v>221</v>
      </c>
      <c r="C165" s="31"/>
      <c r="D165"/>
      <c r="E165"/>
      <c r="F165"/>
      <c r="G165"/>
      <c r="H165"/>
      <c r="I165"/>
      <c r="J165"/>
      <c r="K165"/>
      <c r="L165"/>
      <c r="M165"/>
      <c r="N165"/>
      <c r="O165"/>
      <c r="P165"/>
      <c r="Q165"/>
      <c r="R165"/>
      <c r="S165"/>
      <c r="T165"/>
      <c r="U165" s="6"/>
      <c r="V165" s="6"/>
      <c r="W165"/>
      <c r="X165"/>
      <c r="Y165"/>
      <c r="Z165"/>
      <c r="AA165"/>
      <c r="AB165"/>
    </row>
    <row r="166" spans="1:28" ht="15.5" customHeight="1" x14ac:dyDescent="0.25">
      <c r="A166"/>
      <c r="B166" s="97" t="s">
        <v>222</v>
      </c>
      <c r="C166" s="31"/>
      <c r="D166" s="79" t="s">
        <v>16</v>
      </c>
      <c r="E166" s="79" t="s">
        <v>17</v>
      </c>
      <c r="F166" s="79" t="s">
        <v>18</v>
      </c>
      <c r="G166" s="79" t="s">
        <v>19</v>
      </c>
      <c r="H166" s="79" t="s">
        <v>20</v>
      </c>
      <c r="I166" s="79" t="s">
        <v>21</v>
      </c>
      <c r="J166" s="79" t="s">
        <v>22</v>
      </c>
      <c r="K166" s="79" t="s">
        <v>23</v>
      </c>
      <c r="L166" s="79" t="s">
        <v>24</v>
      </c>
      <c r="M166" s="79" t="s">
        <v>25</v>
      </c>
      <c r="N166" s="79" t="s">
        <v>26</v>
      </c>
      <c r="O166" s="79" t="s">
        <v>27</v>
      </c>
      <c r="P166" s="79" t="s">
        <v>28</v>
      </c>
      <c r="Q166" s="79" t="s">
        <v>29</v>
      </c>
      <c r="R166" s="79" t="s">
        <v>30</v>
      </c>
      <c r="S166" s="79" t="s">
        <v>31</v>
      </c>
      <c r="T166" s="79" t="s">
        <v>32</v>
      </c>
      <c r="U166" s="6"/>
      <c r="V166" s="6"/>
      <c r="W166"/>
      <c r="X166"/>
      <c r="Y166"/>
      <c r="Z166"/>
      <c r="AA166"/>
      <c r="AB166"/>
    </row>
    <row r="167" spans="1:28" ht="15.5" customHeight="1" x14ac:dyDescent="0.25">
      <c r="A167"/>
      <c r="B167" s="72" t="s">
        <v>223</v>
      </c>
      <c r="C167" s="31" t="s">
        <v>208</v>
      </c>
      <c r="D167" s="98">
        <v>0</v>
      </c>
      <c r="E167" s="98">
        <v>0</v>
      </c>
      <c r="F167" s="98">
        <v>0</v>
      </c>
      <c r="G167" s="98">
        <v>0</v>
      </c>
      <c r="H167" s="98">
        <v>0</v>
      </c>
      <c r="I167" s="98">
        <v>0</v>
      </c>
      <c r="J167" s="98">
        <v>0</v>
      </c>
      <c r="K167" s="98">
        <v>0</v>
      </c>
      <c r="L167" s="98">
        <v>0</v>
      </c>
      <c r="M167" s="98">
        <v>0</v>
      </c>
      <c r="N167" s="98">
        <v>0</v>
      </c>
      <c r="O167" s="98">
        <v>0</v>
      </c>
      <c r="P167" s="98">
        <v>1</v>
      </c>
      <c r="Q167" s="98">
        <v>1</v>
      </c>
      <c r="R167" s="98">
        <v>1.5</v>
      </c>
      <c r="S167" s="98">
        <v>2</v>
      </c>
      <c r="T167" s="98">
        <v>1.5</v>
      </c>
      <c r="U167" s="221" t="s">
        <v>224</v>
      </c>
      <c r="V167" s="6"/>
      <c r="W167"/>
      <c r="X167"/>
      <c r="Y167"/>
      <c r="Z167"/>
      <c r="AA167"/>
      <c r="AB167"/>
    </row>
    <row r="168" spans="1:28" ht="15.5" customHeight="1" x14ac:dyDescent="0.25">
      <c r="A168"/>
      <c r="B168" s="85" t="s">
        <v>225</v>
      </c>
      <c r="C168" s="31" t="s">
        <v>208</v>
      </c>
      <c r="D168" s="98">
        <v>0</v>
      </c>
      <c r="E168" s="98">
        <v>0</v>
      </c>
      <c r="F168" s="98">
        <v>0</v>
      </c>
      <c r="G168" s="98">
        <v>0</v>
      </c>
      <c r="H168" s="98">
        <v>0</v>
      </c>
      <c r="I168" s="98">
        <v>0</v>
      </c>
      <c r="J168" s="98">
        <v>0</v>
      </c>
      <c r="K168" s="98">
        <v>0</v>
      </c>
      <c r="L168" s="98">
        <v>0</v>
      </c>
      <c r="M168" s="98">
        <v>0</v>
      </c>
      <c r="N168" s="98">
        <v>0</v>
      </c>
      <c r="O168" s="98">
        <v>0</v>
      </c>
      <c r="P168" s="98">
        <v>0.5</v>
      </c>
      <c r="Q168" s="98">
        <v>1</v>
      </c>
      <c r="R168" s="98">
        <v>1</v>
      </c>
      <c r="S168" s="98">
        <v>1</v>
      </c>
      <c r="T168" s="98">
        <v>1</v>
      </c>
      <c r="U168" s="221" t="s">
        <v>224</v>
      </c>
      <c r="V168" s="6"/>
      <c r="W168"/>
      <c r="X168"/>
      <c r="Y168"/>
      <c r="Z168"/>
      <c r="AA168"/>
      <c r="AB168"/>
    </row>
    <row r="169" spans="1:28" ht="15.5" customHeight="1" x14ac:dyDescent="0.25">
      <c r="A169"/>
      <c r="B169" s="85" t="s">
        <v>226</v>
      </c>
      <c r="C169" s="31" t="s">
        <v>208</v>
      </c>
      <c r="D169" s="98">
        <v>0</v>
      </c>
      <c r="E169" s="98">
        <v>0</v>
      </c>
      <c r="F169" s="98">
        <v>0</v>
      </c>
      <c r="G169" s="98">
        <v>0</v>
      </c>
      <c r="H169" s="98">
        <v>0</v>
      </c>
      <c r="I169" s="98">
        <v>0</v>
      </c>
      <c r="J169" s="98">
        <v>0</v>
      </c>
      <c r="K169" s="98">
        <v>0</v>
      </c>
      <c r="L169" s="98">
        <v>0</v>
      </c>
      <c r="M169" s="98">
        <v>0</v>
      </c>
      <c r="N169" s="98">
        <v>0</v>
      </c>
      <c r="O169" s="98">
        <v>0</v>
      </c>
      <c r="P169" s="98">
        <v>0</v>
      </c>
      <c r="Q169" s="98">
        <v>0.5</v>
      </c>
      <c r="R169" s="98">
        <v>0.5</v>
      </c>
      <c r="S169" s="98">
        <v>1</v>
      </c>
      <c r="T169" s="98">
        <v>0.5</v>
      </c>
      <c r="U169" s="221" t="s">
        <v>224</v>
      </c>
      <c r="V169" s="6"/>
      <c r="W169"/>
      <c r="X169"/>
      <c r="Y169"/>
      <c r="Z169"/>
      <c r="AA169"/>
      <c r="AB169"/>
    </row>
    <row r="170" spans="1:28" ht="15.5" customHeight="1" x14ac:dyDescent="0.25">
      <c r="A170"/>
      <c r="B170" s="85" t="s">
        <v>227</v>
      </c>
      <c r="C170" s="31" t="s">
        <v>208</v>
      </c>
      <c r="D170" s="98">
        <v>0</v>
      </c>
      <c r="E170" s="98">
        <v>0</v>
      </c>
      <c r="F170" s="98">
        <v>0</v>
      </c>
      <c r="G170" s="98">
        <v>0</v>
      </c>
      <c r="H170" s="98">
        <v>0</v>
      </c>
      <c r="I170" s="98">
        <v>0</v>
      </c>
      <c r="J170" s="98">
        <v>0</v>
      </c>
      <c r="K170" s="98">
        <v>0</v>
      </c>
      <c r="L170" s="98">
        <v>0</v>
      </c>
      <c r="M170" s="98">
        <v>0</v>
      </c>
      <c r="N170" s="98">
        <v>0</v>
      </c>
      <c r="O170" s="98">
        <v>0</v>
      </c>
      <c r="P170" s="98">
        <v>1.5</v>
      </c>
      <c r="Q170" s="98">
        <v>2.5</v>
      </c>
      <c r="R170" s="98">
        <v>3</v>
      </c>
      <c r="S170" s="98">
        <v>4</v>
      </c>
      <c r="T170" s="98">
        <v>3</v>
      </c>
      <c r="U170" s="221" t="s">
        <v>224</v>
      </c>
      <c r="V170" s="6"/>
      <c r="W170"/>
      <c r="X170"/>
      <c r="Y170"/>
      <c r="Z170"/>
      <c r="AA170"/>
      <c r="AB170"/>
    </row>
    <row r="171" spans="1:28" ht="15.5" customHeight="1" x14ac:dyDescent="0.25">
      <c r="A171"/>
      <c r="B171" s="1"/>
      <c r="C171" s="31"/>
      <c r="D171"/>
      <c r="E171"/>
      <c r="F171"/>
      <c r="G171"/>
      <c r="H171"/>
      <c r="I171"/>
      <c r="J171"/>
      <c r="K171"/>
      <c r="L171"/>
      <c r="M171"/>
      <c r="N171"/>
      <c r="O171"/>
      <c r="P171"/>
      <c r="Q171"/>
      <c r="R171"/>
      <c r="S171"/>
      <c r="T171"/>
      <c r="U171" s="6"/>
      <c r="V171" s="6"/>
      <c r="W171"/>
      <c r="X171"/>
      <c r="Y171"/>
      <c r="Z171"/>
      <c r="AA171"/>
      <c r="AB171"/>
    </row>
    <row r="172" spans="1:28" ht="15.5" customHeight="1" x14ac:dyDescent="0.25">
      <c r="A172"/>
      <c r="B172" s="97" t="s">
        <v>228</v>
      </c>
      <c r="C172" s="31"/>
      <c r="D172" s="79"/>
      <c r="E172" s="79"/>
      <c r="F172" s="79"/>
      <c r="G172" s="79"/>
      <c r="H172" s="79"/>
      <c r="I172" s="79"/>
      <c r="J172" s="79"/>
      <c r="K172" s="79"/>
      <c r="L172" s="79"/>
      <c r="M172" s="79"/>
      <c r="N172" s="79"/>
      <c r="O172" s="79"/>
      <c r="P172"/>
      <c r="Q172"/>
      <c r="R172"/>
      <c r="S172"/>
      <c r="T172"/>
      <c r="U172" s="6"/>
      <c r="V172" s="6"/>
      <c r="W172"/>
      <c r="X172"/>
      <c r="Y172"/>
      <c r="Z172"/>
      <c r="AA172"/>
      <c r="AB172"/>
    </row>
    <row r="173" spans="1:28" ht="15.5" customHeight="1" x14ac:dyDescent="0.25">
      <c r="A173"/>
      <c r="B173" s="72" t="s">
        <v>223</v>
      </c>
      <c r="C173" s="31" t="s">
        <v>33</v>
      </c>
      <c r="D173" s="83">
        <f>0</f>
        <v>0</v>
      </c>
      <c r="E173" s="343">
        <f>0</f>
        <v>0</v>
      </c>
      <c r="F173" s="343">
        <f>0</f>
        <v>0</v>
      </c>
      <c r="G173" s="343">
        <f>0</f>
        <v>0</v>
      </c>
      <c r="H173" s="343">
        <f>0</f>
        <v>0</v>
      </c>
      <c r="I173" s="343">
        <f>0</f>
        <v>0</v>
      </c>
      <c r="J173" s="343">
        <f>0</f>
        <v>0</v>
      </c>
      <c r="K173" s="343">
        <f>0</f>
        <v>0</v>
      </c>
      <c r="L173" s="343">
        <f>0</f>
        <v>0</v>
      </c>
      <c r="M173" s="343">
        <f>0</f>
        <v>0</v>
      </c>
      <c r="N173" s="343">
        <f>0</f>
        <v>0</v>
      </c>
      <c r="O173" s="343">
        <f>0</f>
        <v>0</v>
      </c>
      <c r="P173" s="343">
        <f>ROUND(ROUND(('5Y – Cost Model'!$D$8-192000)*1320000/1714925,0)*15000/1200000,0)</f>
        <v>2577</v>
      </c>
      <c r="Q173" s="343">
        <f>ROUND(ROUND(('5Y – Cost Model'!$D$8-192000)*1320000/1714925,0)*30000/1200000,0)</f>
        <v>5155</v>
      </c>
      <c r="R173" s="343">
        <f>ROUND(ROUND(('5Y – Cost Model'!$D$8-192000)*1320000/1714925,0)*45000/1200000,0)</f>
        <v>7732</v>
      </c>
      <c r="S173" s="343">
        <f>ROUND(ROUND(('5Y – Cost Model'!$D$8-192000)*1320000/1714925,0)*75000/1200000,0)</f>
        <v>12887</v>
      </c>
      <c r="T173" s="343">
        <f>ROUND(ROUND(('5Y – Cost Model'!$E$8-192000)*3685000/4699100,0)*600000/3350000,0)</f>
        <v>84728</v>
      </c>
      <c r="U173" s="46" t="s">
        <v>229</v>
      </c>
      <c r="V173" s="6"/>
      <c r="W173"/>
      <c r="X173"/>
      <c r="Y173"/>
      <c r="Z173"/>
      <c r="AA173"/>
      <c r="AB173"/>
    </row>
    <row r="174" spans="1:28" ht="15.5" customHeight="1" x14ac:dyDescent="0.25">
      <c r="A174"/>
      <c r="B174" s="85" t="s">
        <v>225</v>
      </c>
      <c r="C174" s="31" t="s">
        <v>33</v>
      </c>
      <c r="D174" s="83">
        <f>0</f>
        <v>0</v>
      </c>
      <c r="E174" s="343">
        <f>0</f>
        <v>0</v>
      </c>
      <c r="F174" s="343">
        <f>0</f>
        <v>0</v>
      </c>
      <c r="G174" s="343">
        <f>0</f>
        <v>0</v>
      </c>
      <c r="H174" s="343">
        <f>0</f>
        <v>0</v>
      </c>
      <c r="I174" s="343">
        <f>0</f>
        <v>0</v>
      </c>
      <c r="J174" s="343">
        <f>0</f>
        <v>0</v>
      </c>
      <c r="K174" s="343">
        <f>0</f>
        <v>0</v>
      </c>
      <c r="L174" s="343">
        <f>0</f>
        <v>0</v>
      </c>
      <c r="M174" s="343">
        <f>0</f>
        <v>0</v>
      </c>
      <c r="N174" s="343">
        <f>0</f>
        <v>0</v>
      </c>
      <c r="O174" s="343">
        <f>0</f>
        <v>0</v>
      </c>
      <c r="P174" s="343">
        <f>ROUND(ROUND(('5Y – Cost Model'!$D$8-192000)*1320000/1714925,0)*37500/1200000,0)</f>
        <v>6443</v>
      </c>
      <c r="Q174" s="343">
        <f>ROUND(ROUND(('5Y – Cost Model'!$D$8-192000)*1320000/1714925,0)*75000/1200000,0)</f>
        <v>12887</v>
      </c>
      <c r="R174" s="343">
        <f>ROUND(ROUND(('5Y – Cost Model'!$D$8-192000)*1320000/1714925,0)*112500/1200000,0)</f>
        <v>19330</v>
      </c>
      <c r="S174" s="343">
        <f>ROUND(ROUND(('5Y – Cost Model'!$D$8-192000)*1320000/1714925,0)*150000/1200000,0)</f>
        <v>25773</v>
      </c>
      <c r="T174" s="343">
        <f>ROUND(ROUND(('5Y – Cost Model'!$E$8-192000)*3685000/4699100,0)*750000/3350000,0)</f>
        <v>105910</v>
      </c>
      <c r="U174" s="46" t="s">
        <v>229</v>
      </c>
      <c r="V174" s="6"/>
      <c r="W174"/>
      <c r="X174"/>
      <c r="Y174"/>
      <c r="Z174"/>
      <c r="AA174"/>
      <c r="AB174"/>
    </row>
    <row r="175" spans="1:28" ht="15.5" customHeight="1" x14ac:dyDescent="0.25">
      <c r="A175"/>
      <c r="B175" s="85" t="s">
        <v>226</v>
      </c>
      <c r="C175" s="31" t="s">
        <v>33</v>
      </c>
      <c r="D175" s="83">
        <f>0</f>
        <v>0</v>
      </c>
      <c r="E175" s="343">
        <f>0</f>
        <v>0</v>
      </c>
      <c r="F175" s="343">
        <f>0</f>
        <v>0</v>
      </c>
      <c r="G175" s="343">
        <f>0</f>
        <v>0</v>
      </c>
      <c r="H175" s="343">
        <f>0</f>
        <v>0</v>
      </c>
      <c r="I175" s="343">
        <f>0</f>
        <v>0</v>
      </c>
      <c r="J175" s="343">
        <f>0</f>
        <v>0</v>
      </c>
      <c r="K175" s="343">
        <f>0</f>
        <v>0</v>
      </c>
      <c r="L175" s="343">
        <f>0</f>
        <v>0</v>
      </c>
      <c r="M175" s="343">
        <f>0</f>
        <v>0</v>
      </c>
      <c r="N175" s="343">
        <f>0</f>
        <v>0</v>
      </c>
      <c r="O175" s="343">
        <f>0</f>
        <v>0</v>
      </c>
      <c r="P175" s="343">
        <f>0</f>
        <v>0</v>
      </c>
      <c r="Q175" s="343">
        <f>ROUND(ROUND(('5Y – Cost Model'!$D$8-192000)*1320000/1714925,0)*20000/1200000,0)</f>
        <v>3436</v>
      </c>
      <c r="R175" s="343">
        <f>ROUND(ROUND(('5Y – Cost Model'!$D$8-192000)*1320000/1714925,0)*40000/1200000,0)</f>
        <v>6873</v>
      </c>
      <c r="S175" s="343">
        <f>ROUND(ROUND(('5Y – Cost Model'!$D$8-192000)*1320000/1714925,0)*60000/1200000,0)</f>
        <v>10309</v>
      </c>
      <c r="T175" s="343">
        <f>ROUND(ROUND(('5Y – Cost Model'!$E$8-192000)*3685000/4699100,0)*320000/3350000,0)</f>
        <v>45188</v>
      </c>
      <c r="U175" s="46" t="s">
        <v>229</v>
      </c>
      <c r="V175" s="6"/>
      <c r="W175"/>
      <c r="X175"/>
      <c r="Y175"/>
      <c r="Z175"/>
      <c r="AA175"/>
      <c r="AB175"/>
    </row>
    <row r="176" spans="1:28" ht="15.5" customHeight="1" x14ac:dyDescent="0.25">
      <c r="A176"/>
      <c r="B176" s="85" t="s">
        <v>227</v>
      </c>
      <c r="C176" s="31" t="s">
        <v>33</v>
      </c>
      <c r="D176" s="83">
        <f>0</f>
        <v>0</v>
      </c>
      <c r="E176" s="343">
        <f>0</f>
        <v>0</v>
      </c>
      <c r="F176" s="343">
        <f>0</f>
        <v>0</v>
      </c>
      <c r="G176" s="343">
        <f>0</f>
        <v>0</v>
      </c>
      <c r="H176" s="343">
        <f>0</f>
        <v>0</v>
      </c>
      <c r="I176" s="343">
        <f>0</f>
        <v>0</v>
      </c>
      <c r="J176" s="343">
        <f>0</f>
        <v>0</v>
      </c>
      <c r="K176" s="343">
        <f>0</f>
        <v>0</v>
      </c>
      <c r="L176" s="343">
        <f>0</f>
        <v>0</v>
      </c>
      <c r="M176" s="343">
        <f>0</f>
        <v>0</v>
      </c>
      <c r="N176" s="343">
        <f>0</f>
        <v>0</v>
      </c>
      <c r="O176" s="343">
        <f>0</f>
        <v>0</v>
      </c>
      <c r="P176" s="343">
        <f>ROUND(ROUND(('5Y – Cost Model'!$D$8-192000)*1320000/1714925,0)*60000/1200000,0)</f>
        <v>10309</v>
      </c>
      <c r="Q176" s="343">
        <f>ROUND(ROUND(('5Y – Cost Model'!$D$8-192000)*1320000/1714925,0)*90000/1200000,0)</f>
        <v>15464</v>
      </c>
      <c r="R176" s="343">
        <f>ROUND(ROUND(('5Y – Cost Model'!$D$8-192000)*1320000/1714925,0)*150000/1200000,0)</f>
        <v>25773</v>
      </c>
      <c r="S176" s="343">
        <f>ROUND(('5Y – Cost Model'!$D$8-192000)*1320000/1714925,0)-SUM(P173:S175,P176:R176)</f>
        <v>41239</v>
      </c>
      <c r="T176" s="343">
        <f>ROUND(('5Y – Cost Model'!$E$8-192000)*3685000/4699100,0)-SUM(T173:T175)</f>
        <v>237238</v>
      </c>
      <c r="U176" s="46" t="s">
        <v>229</v>
      </c>
      <c r="V176" s="6"/>
      <c r="W176"/>
      <c r="X176"/>
      <c r="Y176"/>
      <c r="Z176"/>
      <c r="AA176"/>
      <c r="AB176"/>
    </row>
    <row r="177" spans="1:41" ht="15.5" customHeight="1" x14ac:dyDescent="0.25">
      <c r="A177"/>
      <c r="B177" s="1"/>
      <c r="C177" s="31"/>
      <c r="D177"/>
      <c r="E177"/>
      <c r="F177"/>
      <c r="G177"/>
      <c r="H177"/>
      <c r="I177"/>
      <c r="J177"/>
      <c r="K177"/>
      <c r="L177"/>
      <c r="M177"/>
      <c r="N177"/>
      <c r="O177"/>
      <c r="P177"/>
      <c r="Q177"/>
      <c r="R177"/>
      <c r="S177"/>
      <c r="T177"/>
      <c r="U177" s="6"/>
      <c r="V177" s="6"/>
      <c r="W177"/>
      <c r="X177"/>
      <c r="Y177"/>
      <c r="Z177"/>
      <c r="AA177"/>
      <c r="AB177"/>
    </row>
    <row r="178" spans="1:41" ht="15.5" customHeight="1" x14ac:dyDescent="0.25">
      <c r="A178"/>
      <c r="B178" s="80" t="s">
        <v>182</v>
      </c>
      <c r="C178" s="31"/>
      <c r="D178" s="79" t="s">
        <v>16</v>
      </c>
      <c r="E178" s="79" t="s">
        <v>17</v>
      </c>
      <c r="F178" s="79" t="s">
        <v>18</v>
      </c>
      <c r="G178" s="79" t="s">
        <v>19</v>
      </c>
      <c r="H178" s="79" t="s">
        <v>20</v>
      </c>
      <c r="I178" s="79" t="s">
        <v>21</v>
      </c>
      <c r="J178" s="79" t="s">
        <v>22</v>
      </c>
      <c r="K178" s="79" t="s">
        <v>23</v>
      </c>
      <c r="L178" s="79" t="s">
        <v>24</v>
      </c>
      <c r="M178" s="79" t="s">
        <v>25</v>
      </c>
      <c r="N178" s="79" t="s">
        <v>26</v>
      </c>
      <c r="O178" s="79" t="s">
        <v>27</v>
      </c>
      <c r="P178" s="79" t="s">
        <v>28</v>
      </c>
      <c r="Q178" s="79" t="s">
        <v>29</v>
      </c>
      <c r="R178" s="79" t="s">
        <v>30</v>
      </c>
      <c r="S178" s="79" t="s">
        <v>31</v>
      </c>
      <c r="T178" s="79" t="s">
        <v>32</v>
      </c>
      <c r="U178" s="6"/>
      <c r="V178" s="6"/>
      <c r="W178"/>
      <c r="X178"/>
      <c r="Y178"/>
      <c r="Z178"/>
      <c r="AA178"/>
      <c r="AB178"/>
    </row>
    <row r="179" spans="1:41" ht="15.5" customHeight="1" x14ac:dyDescent="0.25">
      <c r="A179"/>
      <c r="B179" s="85" t="s">
        <v>183</v>
      </c>
      <c r="C179" s="31" t="s">
        <v>33</v>
      </c>
      <c r="D179" s="84">
        <f t="shared" ref="D179:N179" si="23">ROUND(0/12,2)</f>
        <v>0</v>
      </c>
      <c r="E179" s="84">
        <f t="shared" si="23"/>
        <v>0</v>
      </c>
      <c r="F179" s="84">
        <f t="shared" si="23"/>
        <v>0</v>
      </c>
      <c r="G179" s="84">
        <f t="shared" si="23"/>
        <v>0</v>
      </c>
      <c r="H179" s="84">
        <f t="shared" si="23"/>
        <v>0</v>
      </c>
      <c r="I179" s="84">
        <f t="shared" si="23"/>
        <v>0</v>
      </c>
      <c r="J179" s="84">
        <f t="shared" si="23"/>
        <v>0</v>
      </c>
      <c r="K179" s="84">
        <f t="shared" si="23"/>
        <v>0</v>
      </c>
      <c r="L179" s="84">
        <f t="shared" si="23"/>
        <v>0</v>
      </c>
      <c r="M179" s="84">
        <f t="shared" si="23"/>
        <v>0</v>
      </c>
      <c r="N179" s="84">
        <f t="shared" si="23"/>
        <v>0</v>
      </c>
      <c r="O179" s="84">
        <f>0-SUM(D179:N179)</f>
        <v>0</v>
      </c>
      <c r="P179" s="84">
        <f>ROUND('5Y – Cost Model'!$D$10*5/7/4,2)</f>
        <v>3000</v>
      </c>
      <c r="Q179" s="84">
        <f>ROUND('5Y – Cost Model'!$D$10*5/7/4,2)</f>
        <v>3000</v>
      </c>
      <c r="R179" s="84">
        <f>ROUND('5Y – Cost Model'!$D$10*5/7/4,2)</f>
        <v>3000</v>
      </c>
      <c r="S179" s="84">
        <f>'5Y – Cost Model'!$D$10*5/7-SUM(P179:R179)</f>
        <v>3000</v>
      </c>
      <c r="T179" s="84">
        <f>'5Y – Cost Model'!$E$10*5/9</f>
        <v>12000</v>
      </c>
      <c r="U179" s="224" t="s">
        <v>230</v>
      </c>
      <c r="V179" s="6"/>
      <c r="W179"/>
      <c r="X179"/>
      <c r="Y179"/>
      <c r="Z179"/>
      <c r="AA179"/>
      <c r="AB179"/>
    </row>
    <row r="180" spans="1:41" ht="15.5" customHeight="1" x14ac:dyDescent="0.25">
      <c r="A180"/>
      <c r="B180" s="4" t="s">
        <v>185</v>
      </c>
      <c r="C180" s="31" t="s">
        <v>33</v>
      </c>
      <c r="D180" s="84">
        <f>0</f>
        <v>0</v>
      </c>
      <c r="E180" s="84">
        <f>0</f>
        <v>0</v>
      </c>
      <c r="F180" s="84">
        <f>0</f>
        <v>0</v>
      </c>
      <c r="G180" s="84">
        <f>0</f>
        <v>0</v>
      </c>
      <c r="H180" s="84">
        <f>0</f>
        <v>0</v>
      </c>
      <c r="I180" s="84">
        <f>0</f>
        <v>0</v>
      </c>
      <c r="J180" s="84">
        <f>0</f>
        <v>0</v>
      </c>
      <c r="K180" s="84">
        <f>0</f>
        <v>0</v>
      </c>
      <c r="L180" s="84">
        <f>0</f>
        <v>0</v>
      </c>
      <c r="M180" s="84">
        <f>0</f>
        <v>0</v>
      </c>
      <c r="N180" s="84">
        <f>0</f>
        <v>0</v>
      </c>
      <c r="O180" s="84">
        <f>0</f>
        <v>0</v>
      </c>
      <c r="P180" s="84">
        <f>'5Y – Cost Model'!$D$9*3/52</f>
        <v>1406.25</v>
      </c>
      <c r="Q180" s="84">
        <f>'5Y – Cost Model'!$D$9*5/52</f>
        <v>2343.75</v>
      </c>
      <c r="R180" s="84">
        <f>'5Y – Cost Model'!$D$9*3/26</f>
        <v>2812.5</v>
      </c>
      <c r="S180" s="84">
        <f>'5Y – Cost Model'!$D$9*2/13</f>
        <v>3750</v>
      </c>
      <c r="T180" s="84">
        <f>'5Y – Cost Model'!$E$9*3/7</f>
        <v>11250</v>
      </c>
      <c r="U180" s="224" t="s">
        <v>231</v>
      </c>
      <c r="V180" s="224"/>
      <c r="W180"/>
      <c r="X180"/>
      <c r="Y180"/>
      <c r="Z180"/>
      <c r="AA180"/>
      <c r="AB180"/>
    </row>
    <row r="181" spans="1:41" ht="15.5" customHeight="1" x14ac:dyDescent="0.25">
      <c r="A181"/>
      <c r="B181" s="101" t="s">
        <v>187</v>
      </c>
      <c r="C181" s="31" t="s">
        <v>33</v>
      </c>
      <c r="D181" s="84">
        <v>0</v>
      </c>
      <c r="E181" s="84">
        <v>0</v>
      </c>
      <c r="F181" s="84">
        <v>0</v>
      </c>
      <c r="G181" s="84">
        <v>0</v>
      </c>
      <c r="H181" s="84">
        <v>0</v>
      </c>
      <c r="I181" s="84">
        <v>0</v>
      </c>
      <c r="J181" s="84">
        <v>0</v>
      </c>
      <c r="K181" s="84">
        <v>0</v>
      </c>
      <c r="L181" s="84">
        <v>0</v>
      </c>
      <c r="M181" s="84">
        <v>0</v>
      </c>
      <c r="N181" s="84">
        <v>0</v>
      </c>
      <c r="O181" s="84">
        <v>0</v>
      </c>
      <c r="P181" s="84">
        <v>0</v>
      </c>
      <c r="Q181" s="84">
        <v>0</v>
      </c>
      <c r="R181" s="84">
        <v>0</v>
      </c>
      <c r="S181" s="84">
        <v>0</v>
      </c>
      <c r="T181" s="84">
        <v>0</v>
      </c>
      <c r="U181" s="224" t="s">
        <v>232</v>
      </c>
      <c r="V181" s="6"/>
      <c r="W181"/>
      <c r="X181"/>
      <c r="Y181"/>
      <c r="Z181"/>
      <c r="AA181"/>
      <c r="AB181"/>
    </row>
    <row r="182" spans="1:41" ht="15.5" customHeight="1" x14ac:dyDescent="0.25">
      <c r="A182"/>
      <c r="B182" s="1"/>
      <c r="C182" s="31"/>
      <c r="D182"/>
      <c r="E182"/>
      <c r="F182"/>
      <c r="G182"/>
      <c r="H182"/>
      <c r="I182"/>
      <c r="J182"/>
      <c r="K182"/>
      <c r="L182"/>
      <c r="M182"/>
      <c r="N182"/>
      <c r="O182"/>
      <c r="P182"/>
      <c r="Q182"/>
      <c r="R182"/>
      <c r="S182"/>
      <c r="T182"/>
      <c r="U182" s="6"/>
      <c r="V182" s="6"/>
      <c r="W182"/>
      <c r="X182"/>
      <c r="Y182"/>
      <c r="Z182"/>
      <c r="AA182"/>
      <c r="AB182"/>
    </row>
    <row r="183" spans="1:41" ht="15.5" customHeight="1" x14ac:dyDescent="0.25">
      <c r="A183"/>
      <c r="B183" s="1"/>
      <c r="C183" s="31"/>
      <c r="D183"/>
      <c r="E183"/>
      <c r="F183"/>
      <c r="G183"/>
      <c r="H183"/>
      <c r="I183"/>
      <c r="J183"/>
      <c r="K183"/>
      <c r="L183"/>
      <c r="M183"/>
      <c r="N183"/>
      <c r="O183"/>
      <c r="P183"/>
      <c r="Q183"/>
      <c r="R183"/>
      <c r="S183"/>
      <c r="T183"/>
      <c r="U183" s="46"/>
      <c r="V183" s="6"/>
      <c r="W183"/>
      <c r="X183"/>
      <c r="Y183"/>
      <c r="Z183"/>
      <c r="AA183"/>
      <c r="AB183"/>
    </row>
    <row r="184" spans="1:41" ht="15.5" customHeight="1" x14ac:dyDescent="0.25">
      <c r="A184"/>
      <c r="B184" s="80" t="s">
        <v>189</v>
      </c>
      <c r="C184" s="31"/>
      <c r="D184" s="79" t="s">
        <v>16</v>
      </c>
      <c r="E184" s="79" t="s">
        <v>17</v>
      </c>
      <c r="F184" s="79" t="s">
        <v>18</v>
      </c>
      <c r="G184" s="79" t="s">
        <v>19</v>
      </c>
      <c r="H184" s="79" t="s">
        <v>20</v>
      </c>
      <c r="I184" s="79" t="s">
        <v>21</v>
      </c>
      <c r="J184" s="79" t="s">
        <v>22</v>
      </c>
      <c r="K184" s="79" t="s">
        <v>23</v>
      </c>
      <c r="L184" s="79" t="s">
        <v>24</v>
      </c>
      <c r="M184" s="79" t="s">
        <v>25</v>
      </c>
      <c r="N184" s="79" t="s">
        <v>26</v>
      </c>
      <c r="O184" s="79" t="s">
        <v>27</v>
      </c>
      <c r="P184" s="79" t="s">
        <v>28</v>
      </c>
      <c r="Q184" s="79" t="s">
        <v>29</v>
      </c>
      <c r="R184" s="79" t="s">
        <v>30</v>
      </c>
      <c r="S184" s="79" t="s">
        <v>31</v>
      </c>
      <c r="T184" s="79" t="s">
        <v>32</v>
      </c>
      <c r="U184" s="6"/>
      <c r="V184" s="6"/>
      <c r="W184"/>
      <c r="X184"/>
      <c r="Y184"/>
      <c r="Z184"/>
      <c r="AA184"/>
      <c r="AB184"/>
    </row>
    <row r="185" spans="1:41" ht="15.5" customHeight="1" x14ac:dyDescent="0.25">
      <c r="A185"/>
      <c r="B185" s="85" t="s">
        <v>190</v>
      </c>
      <c r="C185" s="31" t="s">
        <v>33</v>
      </c>
      <c r="D185" s="83">
        <f>0</f>
        <v>0</v>
      </c>
      <c r="E185" s="83">
        <f>0</f>
        <v>0</v>
      </c>
      <c r="F185" s="83">
        <f>0</f>
        <v>0</v>
      </c>
      <c r="G185" s="83">
        <f>0</f>
        <v>0</v>
      </c>
      <c r="H185" s="83">
        <f>0</f>
        <v>0</v>
      </c>
      <c r="I185" s="83">
        <f>0</f>
        <v>0</v>
      </c>
      <c r="J185" s="83">
        <f>0</f>
        <v>0</v>
      </c>
      <c r="K185" s="83">
        <f>0</f>
        <v>0</v>
      </c>
      <c r="L185" s="83">
        <f>0</f>
        <v>0</v>
      </c>
      <c r="M185" s="83">
        <f>0</f>
        <v>0</v>
      </c>
      <c r="N185" s="83">
        <f>0</f>
        <v>0</v>
      </c>
      <c r="O185" s="83">
        <f>0</f>
        <v>0</v>
      </c>
      <c r="P185" s="84">
        <f>0</f>
        <v>0</v>
      </c>
      <c r="Q185" s="84">
        <f>0</f>
        <v>0</v>
      </c>
      <c r="R185" s="91">
        <f>ROUND('5Y – Cost Model'!$D$20*400000/2007750,2)</f>
        <v>49807</v>
      </c>
      <c r="S185" s="84">
        <f>0</f>
        <v>0</v>
      </c>
      <c r="T185" s="84">
        <f>0</f>
        <v>0</v>
      </c>
      <c r="U185" s="221" t="s">
        <v>233</v>
      </c>
      <c r="V185" s="6"/>
      <c r="W185"/>
      <c r="X185"/>
      <c r="Y185"/>
      <c r="Z185"/>
      <c r="AA185"/>
      <c r="AB185"/>
    </row>
    <row r="186" spans="1:41" ht="15.5" customHeight="1" x14ac:dyDescent="0.25">
      <c r="A186"/>
      <c r="B186" s="85" t="s">
        <v>192</v>
      </c>
      <c r="C186" s="31" t="s">
        <v>33</v>
      </c>
      <c r="D186" s="102">
        <f>0</f>
        <v>0</v>
      </c>
      <c r="E186" s="102">
        <f>0</f>
        <v>0</v>
      </c>
      <c r="F186" s="102">
        <f>0</f>
        <v>0</v>
      </c>
      <c r="G186" s="102">
        <f>0</f>
        <v>0</v>
      </c>
      <c r="H186" s="102">
        <f>0</f>
        <v>0</v>
      </c>
      <c r="I186" s="94">
        <f>0</f>
        <v>0</v>
      </c>
      <c r="J186" s="94">
        <f>ROUND('5Y – Cost Model'!$C$20*3125/92812.5,2)</f>
        <v>3030.3</v>
      </c>
      <c r="K186" s="94">
        <f>ROUND('5Y – Cost Model'!$C$20*3125/92812.5,2)</f>
        <v>3030.3</v>
      </c>
      <c r="L186" s="94">
        <f>ROUND('5Y – Cost Model'!$C$20*3125/92812.5,2)</f>
        <v>3030.3</v>
      </c>
      <c r="M186" s="94">
        <f>ROUND('5Y – Cost Model'!$C$20*6250/92812.5,2)</f>
        <v>6060.61</v>
      </c>
      <c r="N186" s="94">
        <f>ROUND('5Y – Cost Model'!$C$20*6250/92812.5,2)</f>
        <v>6060.61</v>
      </c>
      <c r="O186" s="94">
        <f>ROUND('5Y – Cost Model'!$C$20*6250/92812.5,2)</f>
        <v>6060.61</v>
      </c>
      <c r="P186" s="94">
        <f>ROUND('5Y – Cost Model'!$D$20*50000/2007750,2)</f>
        <v>6225.87</v>
      </c>
      <c r="Q186" s="94">
        <f>ROUND('5Y – Cost Model'!$D$20*100000/2007750,2)</f>
        <v>12451.75</v>
      </c>
      <c r="R186" s="95">
        <f>ROUND('5Y – Cost Model'!$D$20*18750/2007750,2)</f>
        <v>2334.6999999999998</v>
      </c>
      <c r="S186" s="94">
        <f>ROUND('5Y – Cost Model'!$D$20*300000/2007750,2)</f>
        <v>37355.25</v>
      </c>
      <c r="T186" s="94">
        <f>ROUND('5Y – Cost Model'!$E$20*1200000/2575000,2)</f>
        <v>186407.77</v>
      </c>
      <c r="U186" s="221" t="s">
        <v>234</v>
      </c>
      <c r="V186" s="6"/>
      <c r="W186"/>
      <c r="X186"/>
      <c r="Y186"/>
      <c r="Z186"/>
      <c r="AA186"/>
      <c r="AB186"/>
    </row>
    <row r="187" spans="1:41" ht="15.5" customHeight="1" x14ac:dyDescent="0.25">
      <c r="A187"/>
      <c r="B187" s="1"/>
      <c r="C187"/>
      <c r="D187"/>
      <c r="E187"/>
      <c r="F187"/>
      <c r="G187"/>
      <c r="H187"/>
      <c r="I187"/>
      <c r="J187"/>
      <c r="K187"/>
      <c r="L187"/>
      <c r="M187"/>
      <c r="N187"/>
      <c r="O187"/>
      <c r="P187"/>
      <c r="Q187"/>
      <c r="R187"/>
      <c r="S187"/>
      <c r="T187"/>
      <c r="U187" s="6"/>
      <c r="V187" s="6"/>
      <c r="W187"/>
      <c r="X187"/>
      <c r="Y187"/>
      <c r="Z187"/>
      <c r="AA187"/>
      <c r="AB187"/>
    </row>
    <row r="188" spans="1:41" ht="15.5" customHeight="1" x14ac:dyDescent="0.25">
      <c r="A188"/>
      <c r="B188" s="80" t="s">
        <v>194</v>
      </c>
      <c r="C188" s="31"/>
      <c r="D188" s="79" t="s">
        <v>16</v>
      </c>
      <c r="E188" s="79" t="s">
        <v>17</v>
      </c>
      <c r="F188" s="79" t="s">
        <v>18</v>
      </c>
      <c r="G188" s="79" t="s">
        <v>19</v>
      </c>
      <c r="H188" s="79" t="s">
        <v>20</v>
      </c>
      <c r="I188" s="79" t="s">
        <v>21</v>
      </c>
      <c r="J188" s="79" t="s">
        <v>22</v>
      </c>
      <c r="K188" s="79" t="s">
        <v>23</v>
      </c>
      <c r="L188" s="79" t="s">
        <v>24</v>
      </c>
      <c r="M188" s="79" t="s">
        <v>25</v>
      </c>
      <c r="N188" s="79" t="s">
        <v>26</v>
      </c>
      <c r="O188" s="79" t="s">
        <v>27</v>
      </c>
      <c r="P188" s="79" t="s">
        <v>28</v>
      </c>
      <c r="Q188" s="79" t="s">
        <v>29</v>
      </c>
      <c r="R188" s="79" t="s">
        <v>30</v>
      </c>
      <c r="S188" s="79" t="s">
        <v>31</v>
      </c>
      <c r="T188" s="79" t="s">
        <v>32</v>
      </c>
      <c r="U188" s="6"/>
      <c r="V188" s="6"/>
      <c r="W188"/>
      <c r="X188"/>
      <c r="Y188"/>
      <c r="Z188"/>
      <c r="AA188"/>
      <c r="AB188"/>
    </row>
    <row r="189" spans="1:41" ht="15.5" customHeight="1" x14ac:dyDescent="0.25">
      <c r="A189"/>
      <c r="B189" s="85" t="s">
        <v>195</v>
      </c>
      <c r="C189" s="31" t="s">
        <v>33</v>
      </c>
      <c r="D189" s="83">
        <v>0</v>
      </c>
      <c r="E189" s="83">
        <v>0</v>
      </c>
      <c r="F189" s="83">
        <v>0</v>
      </c>
      <c r="G189" s="83">
        <v>0</v>
      </c>
      <c r="H189" s="83">
        <v>0</v>
      </c>
      <c r="I189" s="103">
        <v>0</v>
      </c>
      <c r="J189" s="84">
        <v>0</v>
      </c>
      <c r="K189" s="103">
        <v>0</v>
      </c>
      <c r="L189" s="103">
        <v>0</v>
      </c>
      <c r="M189" s="103">
        <v>0</v>
      </c>
      <c r="N189" s="103">
        <v>0</v>
      </c>
      <c r="O189" s="103">
        <v>0</v>
      </c>
      <c r="P189" s="103">
        <v>20000</v>
      </c>
      <c r="Q189" s="84">
        <v>6000</v>
      </c>
      <c r="R189" s="103">
        <v>60000</v>
      </c>
      <c r="S189" s="103">
        <v>80000</v>
      </c>
      <c r="T189" s="103">
        <v>500000</v>
      </c>
      <c r="U189" s="221" t="s">
        <v>235</v>
      </c>
      <c r="V189" s="6"/>
      <c r="W189"/>
      <c r="X189"/>
      <c r="Y189"/>
      <c r="Z189"/>
      <c r="AA189"/>
      <c r="AB189"/>
    </row>
    <row r="190" spans="1:41" ht="15.5" customHeight="1" x14ac:dyDescent="0.25">
      <c r="A190"/>
      <c r="B190" s="1"/>
      <c r="C190" s="31"/>
      <c r="D190" s="79"/>
      <c r="E190" s="79"/>
      <c r="F190" s="79"/>
      <c r="G190" s="79"/>
      <c r="H190" s="79"/>
      <c r="I190" s="79"/>
      <c r="J190" s="79"/>
      <c r="K190" s="79"/>
      <c r="L190" s="79"/>
      <c r="M190" s="79"/>
      <c r="N190" s="79"/>
      <c r="O190" s="79"/>
      <c r="P190" s="79"/>
      <c r="Q190" s="79"/>
      <c r="R190" s="79"/>
      <c r="S190" s="79"/>
      <c r="T190" s="79"/>
      <c r="U190" s="6"/>
      <c r="V190" s="6"/>
      <c r="W190"/>
      <c r="X190"/>
      <c r="Y190"/>
      <c r="Z190"/>
      <c r="AA190"/>
      <c r="AB190"/>
    </row>
    <row r="191" spans="1:41" ht="15.5" customHeight="1" x14ac:dyDescent="0.25">
      <c r="A191" s="22"/>
      <c r="B191" s="71" t="s">
        <v>236</v>
      </c>
      <c r="C191" s="60"/>
      <c r="D191" s="61"/>
      <c r="E191" s="61"/>
      <c r="F191" s="61"/>
      <c r="G191" s="61"/>
      <c r="H191" s="61"/>
      <c r="I191" s="61"/>
      <c r="J191" s="61"/>
      <c r="K191" s="61"/>
      <c r="L191" s="61"/>
      <c r="M191" s="61"/>
      <c r="N191" s="61"/>
      <c r="O191" s="61"/>
      <c r="P191" s="61"/>
      <c r="Q191" s="61"/>
      <c r="R191" s="61"/>
      <c r="S191" s="61"/>
      <c r="T191" s="61"/>
      <c r="U191" s="216"/>
      <c r="V191" s="216"/>
      <c r="W191" s="61"/>
      <c r="X191" s="61"/>
      <c r="Y191" s="61"/>
      <c r="Z191" s="61"/>
      <c r="AA191" s="22"/>
      <c r="AB191" s="22"/>
      <c r="AC191" s="22"/>
      <c r="AD191" s="22"/>
      <c r="AE191" s="22"/>
      <c r="AF191" s="22"/>
      <c r="AG191" s="22"/>
      <c r="AH191" s="22"/>
      <c r="AI191" s="22"/>
      <c r="AJ191" s="22"/>
      <c r="AK191" s="22"/>
      <c r="AL191" s="22"/>
      <c r="AM191" s="22"/>
      <c r="AN191" s="22"/>
      <c r="AO191" s="22"/>
    </row>
    <row r="192" spans="1:41" ht="15.5" customHeight="1" x14ac:dyDescent="0.25">
      <c r="A192"/>
      <c r="B192" s="1"/>
      <c r="C192" s="31"/>
      <c r="D192"/>
      <c r="E192"/>
      <c r="F192"/>
      <c r="G192"/>
      <c r="H192"/>
      <c r="I192"/>
      <c r="J192"/>
      <c r="K192"/>
      <c r="L192"/>
      <c r="M192"/>
      <c r="N192"/>
      <c r="O192"/>
      <c r="P192"/>
      <c r="Q192"/>
      <c r="R192"/>
      <c r="S192"/>
      <c r="T192"/>
      <c r="U192" s="6"/>
      <c r="V192" s="6"/>
      <c r="W192"/>
      <c r="X192"/>
      <c r="Y192"/>
      <c r="Z192"/>
      <c r="AA192"/>
      <c r="AB192"/>
    </row>
    <row r="193" spans="1:28" ht="15.5" customHeight="1" x14ac:dyDescent="0.25">
      <c r="A193"/>
      <c r="B193" s="80" t="s">
        <v>175</v>
      </c>
      <c r="C193" s="31"/>
      <c r="D193" s="79" t="s">
        <v>16</v>
      </c>
      <c r="E193" s="79" t="s">
        <v>17</v>
      </c>
      <c r="F193" s="79" t="s">
        <v>18</v>
      </c>
      <c r="G193" s="79" t="s">
        <v>19</v>
      </c>
      <c r="H193" s="79" t="s">
        <v>20</v>
      </c>
      <c r="I193" s="79" t="s">
        <v>21</v>
      </c>
      <c r="J193" s="88" t="s">
        <v>22</v>
      </c>
      <c r="K193" s="79" t="s">
        <v>23</v>
      </c>
      <c r="L193" s="79" t="s">
        <v>24</v>
      </c>
      <c r="M193" s="79" t="s">
        <v>25</v>
      </c>
      <c r="N193" s="79" t="s">
        <v>26</v>
      </c>
      <c r="O193" s="79" t="s">
        <v>27</v>
      </c>
      <c r="P193" s="79" t="s">
        <v>28</v>
      </c>
      <c r="Q193" s="79" t="s">
        <v>29</v>
      </c>
      <c r="R193" s="79" t="s">
        <v>30</v>
      </c>
      <c r="S193" s="79" t="s">
        <v>31</v>
      </c>
      <c r="T193" s="79" t="s">
        <v>32</v>
      </c>
      <c r="U193" s="6"/>
      <c r="V193" s="6"/>
      <c r="W193"/>
      <c r="X193"/>
      <c r="Y193"/>
      <c r="Z193"/>
      <c r="AA193"/>
      <c r="AB193"/>
    </row>
    <row r="194" spans="1:28" ht="15.5" customHeight="1" x14ac:dyDescent="0.25">
      <c r="A194"/>
      <c r="B194" s="72" t="s">
        <v>176</v>
      </c>
      <c r="C194" s="31" t="s">
        <v>15</v>
      </c>
      <c r="D194" s="92">
        <v>0.33333333333333331</v>
      </c>
      <c r="E194" s="92">
        <v>0.33333333333333331</v>
      </c>
      <c r="F194" s="92">
        <v>0.33333333333333331</v>
      </c>
      <c r="G194" s="92">
        <v>0.33333333333333331</v>
      </c>
      <c r="H194" s="92">
        <v>0.33333333333333331</v>
      </c>
      <c r="I194" s="92">
        <v>0.33333333333333331</v>
      </c>
      <c r="J194" s="92">
        <v>0.33333333333333331</v>
      </c>
      <c r="K194" s="92">
        <v>0.33333333333333331</v>
      </c>
      <c r="L194" s="92">
        <v>0.33333333333333331</v>
      </c>
      <c r="M194" s="92">
        <v>0.33333333333333331</v>
      </c>
      <c r="N194" s="92">
        <v>0.33333333333333331</v>
      </c>
      <c r="O194" s="92">
        <v>0.33333333333333331</v>
      </c>
      <c r="P194" s="92">
        <v>0.33333333333333331</v>
      </c>
      <c r="Q194" s="92">
        <v>0.33333333333333331</v>
      </c>
      <c r="R194" s="92">
        <v>0.33333333333333331</v>
      </c>
      <c r="S194" s="92">
        <v>0.33333333333333331</v>
      </c>
      <c r="T194" s="92">
        <v>0.33333333333333331</v>
      </c>
      <c r="U194" s="221" t="s">
        <v>177</v>
      </c>
      <c r="V194" s="6"/>
      <c r="W194"/>
      <c r="X194"/>
      <c r="Y194"/>
      <c r="Z194"/>
      <c r="AA194"/>
      <c r="AB194"/>
    </row>
    <row r="195" spans="1:28" ht="15.5" customHeight="1" x14ac:dyDescent="0.25">
      <c r="A195"/>
      <c r="B195" s="72" t="s">
        <v>178</v>
      </c>
      <c r="C195" s="31" t="s">
        <v>33</v>
      </c>
      <c r="D195" s="93">
        <f>IF(SUM($D$47:$O$47,$D$79:$O$79,$D$111:$O$111)=0,0,'5Y – Cost Model'!$C$7*D111/SUM($D$47:$O$47,$D$79:$O$79,$D$111:$O$111)/2)</f>
        <v>0</v>
      </c>
      <c r="E195" s="93">
        <f>IF(SUM($D$47:$O$47,$D$79:$O$79,$D$111:$O$111)=0,0,'5Y – Cost Model'!$C$7*E111/SUM($D$47:$O$47,$D$79:$O$79,$D$111:$O$111)/2)</f>
        <v>0</v>
      </c>
      <c r="F195" s="93">
        <f>IF(SUM($D$47:$O$47,$D$79:$O$79,$D$111:$O$111)=0,0,'5Y – Cost Model'!$C$7*F111/SUM($D$47:$O$47,$D$79:$O$79,$D$111:$O$111)/2)</f>
        <v>0</v>
      </c>
      <c r="G195" s="93">
        <f>IF(SUM($D$47:$O$47,$D$79:$O$79,$D$111:$O$111)=0,0,'5Y – Cost Model'!$C$7*G111/SUM($D$47:$O$47,$D$79:$O$79,$D$111:$O$111)/2)</f>
        <v>0</v>
      </c>
      <c r="H195" s="93">
        <f>IF(SUM($D$47:$O$47,$D$79:$O$79,$D$111:$O$111)=0,0,'5Y – Cost Model'!$C$7*H111/SUM($D$47:$O$47,$D$79:$O$79,$D$111:$O$111)/2)</f>
        <v>0</v>
      </c>
      <c r="I195" s="93">
        <f>IF(SUM($D$47:$O$47,$D$79:$O$79,$D$111:$O$111)=0,0,'5Y – Cost Model'!$C$7*I111/SUM($D$47:$O$47,$D$79:$O$79,$D$111:$O$111)/2)</f>
        <v>0</v>
      </c>
      <c r="J195" s="93">
        <f>IF(SUM($D$47:$O$47,$D$79:$O$79,$D$111:$O$111)=0,0,'5Y – Cost Model'!$C$7*J111/SUM($D$47:$O$47,$D$79:$O$79,$D$111:$O$111)/2)</f>
        <v>0</v>
      </c>
      <c r="K195" s="93">
        <f>IF(SUM($D$47:$O$47,$D$79:$O$79,$D$111:$O$111)=0,0,'5Y – Cost Model'!$C$7*K111/SUM($D$47:$O$47,$D$79:$O$79,$D$111:$O$111)/2)</f>
        <v>0</v>
      </c>
      <c r="L195" s="93">
        <f>IF(SUM($D$47:$O$47,$D$79:$O$79,$D$111:$O$111)=0,0,'5Y – Cost Model'!$C$7*L111/SUM($D$47:$O$47,$D$79:$O$79,$D$111:$O$111)/2)</f>
        <v>0</v>
      </c>
      <c r="M195" s="93">
        <f>IF(SUM($D$47:$O$47,$D$79:$O$79,$D$111:$O$111)=0,0,'5Y – Cost Model'!$C$7*M111/SUM($D$47:$O$47,$D$79:$O$79,$D$111:$O$111)/2)</f>
        <v>0</v>
      </c>
      <c r="N195" s="93">
        <f>IF(SUM($D$47:$O$47,$D$79:$O$79,$D$111:$O$111)=0,0,'5Y – Cost Model'!$C$7*N111/SUM($D$47:$O$47,$D$79:$O$79,$D$111:$O$111)/2)</f>
        <v>0</v>
      </c>
      <c r="O195" s="93">
        <f>IF(SUM($D$47:$O$47,$D$79:$O$79,$D$111:$O$111)=0,0,'5Y – Cost Model'!$C$7*O111/SUM($D$47:$O$47,$D$79:$O$79,$D$111:$O$111)/2)</f>
        <v>0</v>
      </c>
      <c r="P195" s="93">
        <f>IF(SUM($P$47:$S$47,$P$79:$S$79,$P$111:$S$111)=0,0,'5Y – Cost Model'!$D$7*P111/SUM($P$47:$S$47,$P$79:$S$79,$P$111:$S$111)/2)</f>
        <v>0</v>
      </c>
      <c r="Q195" s="93">
        <f>IF(SUM($P$47:$S$47,$P$79:$S$79,$P$111:$S$111)=0,0,'5Y – Cost Model'!$D$7*Q111/SUM($P$47:$S$47,$P$79:$S$79,$P$111:$S$111)/2)</f>
        <v>0</v>
      </c>
      <c r="R195" s="93">
        <f>IF(SUM($P$47:$S$47,$P$79:$S$79,$P$111:$S$111)=0,0,'5Y – Cost Model'!$D$7*R111/SUM($P$47:$S$47,$P$79:$S$79,$P$111:$S$111)/2)</f>
        <v>0</v>
      </c>
      <c r="S195" s="93">
        <f>IF(SUM($P$47:$S$47,$P$79:$S$79,$P$111:$S$111)=0,0,'5Y – Cost Model'!$D$7*S111/SUM($P$47:$S$47,$P$79:$S$79,$P$111:$S$111)/2)</f>
        <v>0</v>
      </c>
      <c r="T195" s="93">
        <f>IF(SUM($T$47,$T$79,$T$111)=0,0,'5Y – Cost Model'!$E$7*T111/SUM($T$47,$T$79,$T$111)/2)</f>
        <v>60672.563509387517</v>
      </c>
      <c r="U195" s="6" t="s">
        <v>179</v>
      </c>
      <c r="V195" s="6"/>
      <c r="W195"/>
      <c r="X195"/>
      <c r="Y195"/>
      <c r="Z195"/>
      <c r="AA195"/>
      <c r="AB195"/>
    </row>
    <row r="196" spans="1:28" ht="15.5" customHeight="1" x14ac:dyDescent="0.25">
      <c r="A196"/>
      <c r="B196" s="72" t="s">
        <v>180</v>
      </c>
      <c r="C196" s="31" t="s">
        <v>15</v>
      </c>
      <c r="D196" s="92">
        <v>0.33333333333333331</v>
      </c>
      <c r="E196" s="92">
        <v>0.33333333333333331</v>
      </c>
      <c r="F196" s="92">
        <v>0.33333333333333331</v>
      </c>
      <c r="G196" s="92">
        <v>0.33333333333333331</v>
      </c>
      <c r="H196" s="92">
        <v>0.33333333333333331</v>
      </c>
      <c r="I196" s="92">
        <v>0.33333333333333331</v>
      </c>
      <c r="J196" s="92">
        <v>0.33333333333333331</v>
      </c>
      <c r="K196" s="92">
        <v>0.33333333333333331</v>
      </c>
      <c r="L196" s="92">
        <v>0.33333333333333331</v>
      </c>
      <c r="M196" s="92">
        <v>0.33333333333333331</v>
      </c>
      <c r="N196" s="92">
        <v>0.33333333333333331</v>
      </c>
      <c r="O196" s="92">
        <v>0.33333333333333331</v>
      </c>
      <c r="P196" s="92">
        <v>0.33333333333333331</v>
      </c>
      <c r="Q196" s="92">
        <v>0.33333333333333331</v>
      </c>
      <c r="R196" s="92">
        <v>0.33333333333333331</v>
      </c>
      <c r="S196" s="92">
        <v>0.33333333333333331</v>
      </c>
      <c r="T196" s="92">
        <v>0.33333333333333331</v>
      </c>
      <c r="U196" s="221" t="s">
        <v>177</v>
      </c>
      <c r="V196" s="6"/>
      <c r="W196"/>
      <c r="X196"/>
      <c r="Y196"/>
      <c r="Z196"/>
      <c r="AA196"/>
      <c r="AB196"/>
    </row>
    <row r="197" spans="1:28" ht="15.5" customHeight="1" x14ac:dyDescent="0.25">
      <c r="A197"/>
      <c r="B197" s="72" t="s">
        <v>181</v>
      </c>
      <c r="C197" s="31" t="s">
        <v>33</v>
      </c>
      <c r="D197" s="93">
        <f>IF(SUM($D$47:$O$47,$D$79:$O$79,$D$111:$O$111)=0,0,'5Y – Cost Model'!$C$7*D111/SUM($D$47:$O$47,$D$79:$O$79,$D$111:$O$111)/2)</f>
        <v>0</v>
      </c>
      <c r="E197" s="93">
        <f>IF(SUM($D$47:$O$47,$D$79:$O$79,$D$111:$O$111)=0,0,'5Y – Cost Model'!$C$7*E111/SUM($D$47:$O$47,$D$79:$O$79,$D$111:$O$111)/2)</f>
        <v>0</v>
      </c>
      <c r="F197" s="93">
        <f>IF(SUM($D$47:$O$47,$D$79:$O$79,$D$111:$O$111)=0,0,'5Y – Cost Model'!$C$7*F111/SUM($D$47:$O$47,$D$79:$O$79,$D$111:$O$111)/2)</f>
        <v>0</v>
      </c>
      <c r="G197" s="93">
        <f>IF(SUM($D$47:$O$47,$D$79:$O$79,$D$111:$O$111)=0,0,'5Y – Cost Model'!$C$7*G111/SUM($D$47:$O$47,$D$79:$O$79,$D$111:$O$111)/2)</f>
        <v>0</v>
      </c>
      <c r="H197" s="93">
        <f>IF(SUM($D$47:$O$47,$D$79:$O$79,$D$111:$O$111)=0,0,'5Y – Cost Model'!$C$7*H111/SUM($D$47:$O$47,$D$79:$O$79,$D$111:$O$111)/2)</f>
        <v>0</v>
      </c>
      <c r="I197" s="93">
        <f>IF(SUM($D$47:$O$47,$D$79:$O$79,$D$111:$O$111)=0,0,'5Y – Cost Model'!$C$7*I111/SUM($D$47:$O$47,$D$79:$O$79,$D$111:$O$111)/2)</f>
        <v>0</v>
      </c>
      <c r="J197" s="93">
        <f>IF(SUM($D$47:$O$47,$D$79:$O$79,$D$111:$O$111)=0,0,'5Y – Cost Model'!$C$7*J111/SUM($D$47:$O$47,$D$79:$O$79,$D$111:$O$111)/2)</f>
        <v>0</v>
      </c>
      <c r="K197" s="93">
        <f>IF(SUM($D$47:$O$47,$D$79:$O$79,$D$111:$O$111)=0,0,'5Y – Cost Model'!$C$7*K111/SUM($D$47:$O$47,$D$79:$O$79,$D$111:$O$111)/2)</f>
        <v>0</v>
      </c>
      <c r="L197" s="93">
        <f>IF(SUM($D$47:$O$47,$D$79:$O$79,$D$111:$O$111)=0,0,'5Y – Cost Model'!$C$7*L111/SUM($D$47:$O$47,$D$79:$O$79,$D$111:$O$111)/2)</f>
        <v>0</v>
      </c>
      <c r="M197" s="93">
        <f>IF(SUM($D$47:$O$47,$D$79:$O$79,$D$111:$O$111)=0,0,'5Y – Cost Model'!$C$7*M111/SUM($D$47:$O$47,$D$79:$O$79,$D$111:$O$111)/2)</f>
        <v>0</v>
      </c>
      <c r="N197" s="93">
        <f>IF(SUM($D$47:$O$47,$D$79:$O$79,$D$111:$O$111)=0,0,'5Y – Cost Model'!$C$7*N111/SUM($D$47:$O$47,$D$79:$O$79,$D$111:$O$111)/2)</f>
        <v>0</v>
      </c>
      <c r="O197" s="93">
        <f>IF(SUM($D$47:$O$47,$D$79:$O$79,$D$111:$O$111)=0,0,'5Y – Cost Model'!$C$7*O111/SUM($D$47:$O$47,$D$79:$O$79,$D$111:$O$111)/2)</f>
        <v>0</v>
      </c>
      <c r="P197" s="93">
        <f>IF(SUM($P$47:$S$47,$P$79:$S$79,$P$111:$S$111)=0,0,'5Y – Cost Model'!$D$7*P111/SUM($P$47:$S$47,$P$79:$S$79,$P$111:$S$111)/2)</f>
        <v>0</v>
      </c>
      <c r="Q197" s="93">
        <f>IF(SUM($P$47:$S$47,$P$79:$S$79,$P$111:$S$111)=0,0,'5Y – Cost Model'!$D$7*Q111/SUM($P$47:$S$47,$P$79:$S$79,$P$111:$S$111)/2)</f>
        <v>0</v>
      </c>
      <c r="R197" s="93">
        <f>IF(SUM($P$47:$S$47,$P$79:$S$79,$P$111:$S$111)=0,0,'5Y – Cost Model'!$D$7*R111/SUM($P$47:$S$47,$P$79:$S$79,$P$111:$S$111)/2)</f>
        <v>0</v>
      </c>
      <c r="S197" s="93">
        <f>IF(SUM($P$47:$S$47,$P$79:$S$79,$P$111:$S$111)=0,0,'5Y – Cost Model'!$D$7*S111/SUM($P$47:$S$47,$P$79:$S$79,$P$111:$S$111)/2)</f>
        <v>0</v>
      </c>
      <c r="T197" s="93">
        <f>IF(SUM($T$47,$T$79,$T$111)=0,0,'5Y – Cost Model'!$E$7*T111/SUM($T$47,$T$79,$T$111)/2)</f>
        <v>60672.563509387517</v>
      </c>
      <c r="U197" s="6" t="s">
        <v>179</v>
      </c>
      <c r="V197" s="6"/>
      <c r="W197"/>
      <c r="X197"/>
      <c r="Y197"/>
      <c r="Z197"/>
      <c r="AA197"/>
      <c r="AB197"/>
    </row>
    <row r="198" spans="1:28" ht="15.5" customHeight="1" x14ac:dyDescent="0.25">
      <c r="A198"/>
      <c r="B198" s="80"/>
      <c r="C198" s="31"/>
      <c r="D198"/>
      <c r="E198"/>
      <c r="F198"/>
      <c r="G198"/>
      <c r="H198"/>
      <c r="I198"/>
      <c r="J198"/>
      <c r="K198"/>
      <c r="L198"/>
      <c r="M198"/>
      <c r="N198"/>
      <c r="O198"/>
      <c r="P198"/>
      <c r="Q198"/>
      <c r="R198"/>
      <c r="S198"/>
      <c r="T198"/>
      <c r="U198" s="6"/>
      <c r="V198" s="6"/>
      <c r="W198"/>
      <c r="X198"/>
      <c r="Y198"/>
      <c r="Z198"/>
      <c r="AA198"/>
      <c r="AB198"/>
    </row>
    <row r="199" spans="1:28" ht="15.5" customHeight="1" x14ac:dyDescent="0.25">
      <c r="A199"/>
      <c r="B199" s="100" t="s">
        <v>221</v>
      </c>
      <c r="C199" s="31"/>
      <c r="D199"/>
      <c r="E199"/>
      <c r="F199"/>
      <c r="G199"/>
      <c r="H199"/>
      <c r="I199"/>
      <c r="J199"/>
      <c r="K199"/>
      <c r="L199"/>
      <c r="M199"/>
      <c r="N199"/>
      <c r="O199"/>
      <c r="P199"/>
      <c r="Q199"/>
      <c r="R199"/>
      <c r="S199"/>
      <c r="T199"/>
      <c r="U199" s="6"/>
      <c r="V199" s="6"/>
      <c r="W199"/>
      <c r="X199"/>
      <c r="Y199"/>
      <c r="Z199"/>
      <c r="AA199"/>
      <c r="AB199"/>
    </row>
    <row r="200" spans="1:28" ht="15.5" customHeight="1" x14ac:dyDescent="0.25">
      <c r="A200"/>
      <c r="B200" s="97" t="s">
        <v>222</v>
      </c>
      <c r="C200" s="31"/>
      <c r="D200" s="79" t="s">
        <v>16</v>
      </c>
      <c r="E200" s="79" t="s">
        <v>17</v>
      </c>
      <c r="F200" s="79" t="s">
        <v>18</v>
      </c>
      <c r="G200" s="79" t="s">
        <v>19</v>
      </c>
      <c r="H200" s="79" t="s">
        <v>20</v>
      </c>
      <c r="I200" s="79" t="s">
        <v>21</v>
      </c>
      <c r="J200" s="79" t="s">
        <v>22</v>
      </c>
      <c r="K200" s="79" t="s">
        <v>23</v>
      </c>
      <c r="L200" s="79" t="s">
        <v>24</v>
      </c>
      <c r="M200" s="79" t="s">
        <v>25</v>
      </c>
      <c r="N200" s="79" t="s">
        <v>26</v>
      </c>
      <c r="O200" s="79" t="s">
        <v>27</v>
      </c>
      <c r="P200" s="79" t="s">
        <v>28</v>
      </c>
      <c r="Q200" s="79" t="s">
        <v>29</v>
      </c>
      <c r="R200" s="79" t="s">
        <v>30</v>
      </c>
      <c r="S200" s="79" t="s">
        <v>31</v>
      </c>
      <c r="T200" s="79" t="s">
        <v>32</v>
      </c>
      <c r="U200" s="6"/>
      <c r="V200" s="6"/>
      <c r="W200"/>
      <c r="X200"/>
      <c r="Y200"/>
      <c r="Z200"/>
      <c r="AA200"/>
      <c r="AB200"/>
    </row>
    <row r="201" spans="1:28" ht="15.5" customHeight="1" x14ac:dyDescent="0.25">
      <c r="A201"/>
      <c r="B201" s="72" t="s">
        <v>223</v>
      </c>
      <c r="C201" s="31" t="s">
        <v>208</v>
      </c>
      <c r="D201" s="98">
        <v>0</v>
      </c>
      <c r="E201" s="98">
        <v>0</v>
      </c>
      <c r="F201" s="98">
        <v>0</v>
      </c>
      <c r="G201" s="98">
        <v>0</v>
      </c>
      <c r="H201" s="98">
        <v>0</v>
      </c>
      <c r="I201" s="98">
        <v>0</v>
      </c>
      <c r="J201" s="98">
        <v>0</v>
      </c>
      <c r="K201" s="98">
        <v>0</v>
      </c>
      <c r="L201" s="98">
        <v>0</v>
      </c>
      <c r="M201" s="98">
        <v>0</v>
      </c>
      <c r="N201" s="98">
        <v>0</v>
      </c>
      <c r="O201" s="98">
        <v>0</v>
      </c>
      <c r="P201" s="98">
        <v>0</v>
      </c>
      <c r="Q201" s="98">
        <v>0.5</v>
      </c>
      <c r="R201" s="98">
        <v>1</v>
      </c>
      <c r="S201" s="98">
        <v>2</v>
      </c>
      <c r="T201" s="98">
        <v>1</v>
      </c>
      <c r="U201" s="221" t="s">
        <v>224</v>
      </c>
      <c r="V201" s="6"/>
      <c r="W201"/>
      <c r="X201"/>
      <c r="Y201"/>
      <c r="Z201"/>
      <c r="AA201"/>
      <c r="AB201"/>
    </row>
    <row r="202" spans="1:28" ht="15.5" customHeight="1" x14ac:dyDescent="0.25">
      <c r="A202"/>
      <c r="B202" s="85" t="s">
        <v>225</v>
      </c>
      <c r="C202" s="31" t="s">
        <v>208</v>
      </c>
      <c r="D202" s="98">
        <v>0</v>
      </c>
      <c r="E202" s="98">
        <v>0</v>
      </c>
      <c r="F202" s="98">
        <v>0</v>
      </c>
      <c r="G202" s="98">
        <v>0</v>
      </c>
      <c r="H202" s="98">
        <v>0</v>
      </c>
      <c r="I202" s="98">
        <v>0</v>
      </c>
      <c r="J202" s="98">
        <v>0</v>
      </c>
      <c r="K202" s="98">
        <v>0</v>
      </c>
      <c r="L202" s="98">
        <v>0</v>
      </c>
      <c r="M202" s="98">
        <v>0</v>
      </c>
      <c r="N202" s="98">
        <v>0</v>
      </c>
      <c r="O202" s="98">
        <v>0</v>
      </c>
      <c r="P202" s="98">
        <v>0</v>
      </c>
      <c r="Q202" s="98">
        <v>0.5</v>
      </c>
      <c r="R202" s="98">
        <v>1</v>
      </c>
      <c r="S202" s="98">
        <v>1.5</v>
      </c>
      <c r="T202" s="98">
        <v>1</v>
      </c>
      <c r="U202" s="221" t="s">
        <v>224</v>
      </c>
      <c r="V202" s="6"/>
      <c r="W202"/>
      <c r="X202"/>
      <c r="Y202"/>
      <c r="Z202"/>
      <c r="AA202"/>
      <c r="AB202"/>
    </row>
    <row r="203" spans="1:28" ht="15.5" customHeight="1" x14ac:dyDescent="0.25">
      <c r="A203"/>
      <c r="B203" s="85" t="s">
        <v>226</v>
      </c>
      <c r="C203" s="31" t="s">
        <v>208</v>
      </c>
      <c r="D203" s="98">
        <v>0</v>
      </c>
      <c r="E203" s="98">
        <v>0</v>
      </c>
      <c r="F203" s="98">
        <v>0</v>
      </c>
      <c r="G203" s="98">
        <v>0</v>
      </c>
      <c r="H203" s="98">
        <v>0</v>
      </c>
      <c r="I203" s="98">
        <v>0</v>
      </c>
      <c r="J203" s="98">
        <v>0</v>
      </c>
      <c r="K203" s="98">
        <v>0</v>
      </c>
      <c r="L203" s="98">
        <v>0</v>
      </c>
      <c r="M203" s="98">
        <v>0</v>
      </c>
      <c r="N203" s="98">
        <v>0</v>
      </c>
      <c r="O203" s="98">
        <v>0</v>
      </c>
      <c r="P203" s="98">
        <v>0</v>
      </c>
      <c r="Q203" s="98">
        <v>0</v>
      </c>
      <c r="R203" s="98">
        <v>0.5</v>
      </c>
      <c r="S203" s="98">
        <v>1</v>
      </c>
      <c r="T203" s="98">
        <v>0.5</v>
      </c>
      <c r="U203" s="221" t="s">
        <v>224</v>
      </c>
      <c r="V203" s="6"/>
      <c r="W203"/>
      <c r="X203"/>
      <c r="Y203"/>
      <c r="Z203"/>
      <c r="AA203"/>
      <c r="AB203"/>
    </row>
    <row r="204" spans="1:28" ht="15.5" customHeight="1" x14ac:dyDescent="0.25">
      <c r="A204"/>
      <c r="B204" s="85" t="s">
        <v>227</v>
      </c>
      <c r="C204" s="31" t="s">
        <v>208</v>
      </c>
      <c r="D204" s="98">
        <v>0</v>
      </c>
      <c r="E204" s="98">
        <v>0</v>
      </c>
      <c r="F204" s="98">
        <v>0</v>
      </c>
      <c r="G204" s="98">
        <v>0</v>
      </c>
      <c r="H204" s="98">
        <v>0</v>
      </c>
      <c r="I204" s="98">
        <v>0</v>
      </c>
      <c r="J204" s="98">
        <v>0</v>
      </c>
      <c r="K204" s="98">
        <v>0</v>
      </c>
      <c r="L204" s="98">
        <v>0</v>
      </c>
      <c r="M204" s="98">
        <v>0</v>
      </c>
      <c r="N204" s="98">
        <v>0</v>
      </c>
      <c r="O204" s="98">
        <v>0</v>
      </c>
      <c r="P204" s="98">
        <v>0</v>
      </c>
      <c r="Q204" s="98">
        <v>0</v>
      </c>
      <c r="R204" s="98">
        <v>0.5</v>
      </c>
      <c r="S204" s="98">
        <v>1.5</v>
      </c>
      <c r="T204" s="98">
        <v>1.5</v>
      </c>
      <c r="U204" s="221" t="s">
        <v>224</v>
      </c>
      <c r="V204" s="6"/>
      <c r="W204"/>
      <c r="X204"/>
      <c r="Y204"/>
      <c r="Z204"/>
      <c r="AA204"/>
      <c r="AB204"/>
    </row>
    <row r="205" spans="1:28" ht="15.5" customHeight="1" x14ac:dyDescent="0.25">
      <c r="A205"/>
      <c r="B205" s="1"/>
      <c r="C205" s="31"/>
      <c r="D205"/>
      <c r="E205"/>
      <c r="F205"/>
      <c r="G205"/>
      <c r="H205"/>
      <c r="I205"/>
      <c r="J205"/>
      <c r="K205"/>
      <c r="L205"/>
      <c r="M205"/>
      <c r="N205"/>
      <c r="O205"/>
      <c r="P205"/>
      <c r="Q205"/>
      <c r="R205"/>
      <c r="S205"/>
      <c r="T205"/>
      <c r="U205" s="6"/>
      <c r="V205" s="6"/>
      <c r="W205"/>
      <c r="X205"/>
      <c r="Y205"/>
      <c r="Z205"/>
      <c r="AA205"/>
      <c r="AB205"/>
    </row>
    <row r="206" spans="1:28" ht="15.5" customHeight="1" x14ac:dyDescent="0.25">
      <c r="A206"/>
      <c r="B206" s="97" t="s">
        <v>228</v>
      </c>
      <c r="C206" s="31"/>
      <c r="D206" s="79"/>
      <c r="E206" s="79"/>
      <c r="F206" s="79"/>
      <c r="G206" s="79"/>
      <c r="H206" s="79"/>
      <c r="I206" s="79"/>
      <c r="J206" s="79"/>
      <c r="K206" s="79"/>
      <c r="L206" s="79"/>
      <c r="M206" s="79"/>
      <c r="N206" s="79"/>
      <c r="O206" s="79"/>
      <c r="P206"/>
      <c r="Q206"/>
      <c r="R206"/>
      <c r="S206"/>
      <c r="T206"/>
      <c r="U206" s="6"/>
      <c r="V206" s="6"/>
      <c r="W206"/>
      <c r="X206"/>
      <c r="Y206"/>
      <c r="Z206"/>
      <c r="AA206"/>
      <c r="AB206"/>
    </row>
    <row r="207" spans="1:28" ht="15.5" customHeight="1" x14ac:dyDescent="0.25">
      <c r="A207"/>
      <c r="B207" s="72" t="s">
        <v>223</v>
      </c>
      <c r="C207" s="31" t="s">
        <v>33</v>
      </c>
      <c r="D207" s="83">
        <f>0</f>
        <v>0</v>
      </c>
      <c r="E207" s="343">
        <f>0</f>
        <v>0</v>
      </c>
      <c r="F207" s="343">
        <f>0</f>
        <v>0</v>
      </c>
      <c r="G207" s="343">
        <f>0</f>
        <v>0</v>
      </c>
      <c r="H207" s="343">
        <f>0</f>
        <v>0</v>
      </c>
      <c r="I207" s="343">
        <f>0</f>
        <v>0</v>
      </c>
      <c r="J207" s="343">
        <f>0</f>
        <v>0</v>
      </c>
      <c r="K207" s="343">
        <f>0</f>
        <v>0</v>
      </c>
      <c r="L207" s="343">
        <f>0</f>
        <v>0</v>
      </c>
      <c r="M207" s="343">
        <f>0</f>
        <v>0</v>
      </c>
      <c r="N207" s="343">
        <f>0</f>
        <v>0</v>
      </c>
      <c r="O207" s="343">
        <f>0</f>
        <v>0</v>
      </c>
      <c r="P207" s="343">
        <f>0</f>
        <v>0</v>
      </c>
      <c r="Q207" s="343">
        <f>ROUND(('5Y – Cost Model'!$D$8-ROUND(192000+('5Y – Cost Model'!$D$8-192000)*267875/1714925,0)-ROUND(('5Y – Cost Model'!$D$8-192000)*1320000/1714925,0))*3000/115500,0)</f>
        <v>515</v>
      </c>
      <c r="R207" s="343">
        <f>ROUND(('5Y – Cost Model'!$D$8-ROUND(192000+('5Y – Cost Model'!$D$8-192000)*267875/1714925,0)-ROUND(('5Y – Cost Model'!$D$8-192000)*1320000/1714925,0))*6000/115500,0)</f>
        <v>1031</v>
      </c>
      <c r="S207" s="343">
        <f>ROUND(('5Y – Cost Model'!$D$8-ROUND(192000+('5Y – Cost Model'!$D$8-192000)*267875/1714925,0)-ROUND(('5Y – Cost Model'!$D$8-192000)*1320000/1714925,0))*9000/115500,0)</f>
        <v>1546</v>
      </c>
      <c r="T207" s="343">
        <f>ROUND(('5Y – Cost Model'!$E$8-ROUND(192000+('5Y – Cost Model'!$E$8-192000)*603250/4699100,0)-ROUND(('5Y – Cost Model'!$E$8-192000)*3685000/4699100,0))*66000/373500,0)</f>
        <v>9320</v>
      </c>
      <c r="U207" s="46" t="s">
        <v>237</v>
      </c>
      <c r="V207" s="6"/>
      <c r="W207"/>
      <c r="X207"/>
      <c r="Y207"/>
      <c r="Z207"/>
      <c r="AA207"/>
      <c r="AB207"/>
    </row>
    <row r="208" spans="1:28" ht="15.5" customHeight="1" x14ac:dyDescent="0.25">
      <c r="A208"/>
      <c r="B208" s="85" t="s">
        <v>225</v>
      </c>
      <c r="C208" s="31" t="s">
        <v>33</v>
      </c>
      <c r="D208" s="83">
        <f>0</f>
        <v>0</v>
      </c>
      <c r="E208" s="343">
        <f>0</f>
        <v>0</v>
      </c>
      <c r="F208" s="343">
        <f>0</f>
        <v>0</v>
      </c>
      <c r="G208" s="343">
        <f>0</f>
        <v>0</v>
      </c>
      <c r="H208" s="343">
        <f>0</f>
        <v>0</v>
      </c>
      <c r="I208" s="343">
        <f>0</f>
        <v>0</v>
      </c>
      <c r="J208" s="343">
        <f>0</f>
        <v>0</v>
      </c>
      <c r="K208" s="343">
        <f>0</f>
        <v>0</v>
      </c>
      <c r="L208" s="343">
        <f>0</f>
        <v>0</v>
      </c>
      <c r="M208" s="343">
        <f>0</f>
        <v>0</v>
      </c>
      <c r="N208" s="343">
        <f>0</f>
        <v>0</v>
      </c>
      <c r="O208" s="343">
        <f>0</f>
        <v>0</v>
      </c>
      <c r="P208" s="343">
        <f>0</f>
        <v>0</v>
      </c>
      <c r="Q208" s="343">
        <f>ROUND(('5Y – Cost Model'!$D$8-ROUND(192000+('5Y – Cost Model'!$D$8-192000)*267875/1714925,0)-ROUND(('5Y – Cost Model'!$D$8-192000)*1320000/1714925,0))*8750/115500,0)</f>
        <v>1503</v>
      </c>
      <c r="R208" s="343">
        <f>ROUND(('5Y – Cost Model'!$D$8-ROUND(192000+('5Y – Cost Model'!$D$8-192000)*267875/1714925,0)-ROUND(('5Y – Cost Model'!$D$8-192000)*1320000/1714925,0))*17500/115500,0)</f>
        <v>3007</v>
      </c>
      <c r="S208" s="343">
        <f>ROUND(('5Y – Cost Model'!$D$8-ROUND(192000+('5Y – Cost Model'!$D$8-192000)*267875/1714925,0)-ROUND(('5Y – Cost Model'!$D$8-192000)*1320000/1714925,0))*26250/115500,0)</f>
        <v>4510</v>
      </c>
      <c r="T208" s="343">
        <f>ROUND(('5Y – Cost Model'!$E$8-ROUND(192000+('5Y – Cost Model'!$E$8-192000)*603250/4699100,0)-ROUND(('5Y – Cost Model'!$E$8-192000)*3685000/4699100,0))*140000/373500,0)</f>
        <v>19770</v>
      </c>
      <c r="U208" s="46" t="s">
        <v>237</v>
      </c>
      <c r="V208" s="6"/>
      <c r="W208"/>
      <c r="X208"/>
      <c r="Y208"/>
      <c r="Z208"/>
      <c r="AA208"/>
      <c r="AB208"/>
    </row>
    <row r="209" spans="1:28" ht="15.5" customHeight="1" x14ac:dyDescent="0.25">
      <c r="A209"/>
      <c r="B209" s="85" t="s">
        <v>226</v>
      </c>
      <c r="C209" s="31" t="s">
        <v>33</v>
      </c>
      <c r="D209" s="83">
        <f>0</f>
        <v>0</v>
      </c>
      <c r="E209" s="343">
        <f>0</f>
        <v>0</v>
      </c>
      <c r="F209" s="343">
        <f>0</f>
        <v>0</v>
      </c>
      <c r="G209" s="343">
        <f>0</f>
        <v>0</v>
      </c>
      <c r="H209" s="343">
        <f>0</f>
        <v>0</v>
      </c>
      <c r="I209" s="343">
        <f>0</f>
        <v>0</v>
      </c>
      <c r="J209" s="343">
        <f>0</f>
        <v>0</v>
      </c>
      <c r="K209" s="343">
        <f>0</f>
        <v>0</v>
      </c>
      <c r="L209" s="343">
        <f>0</f>
        <v>0</v>
      </c>
      <c r="M209" s="343">
        <f>0</f>
        <v>0</v>
      </c>
      <c r="N209" s="343">
        <f>0</f>
        <v>0</v>
      </c>
      <c r="O209" s="343">
        <f>0</f>
        <v>0</v>
      </c>
      <c r="P209" s="343">
        <f>0</f>
        <v>0</v>
      </c>
      <c r="Q209" s="343">
        <f>0</f>
        <v>0</v>
      </c>
      <c r="R209" s="343">
        <f>ROUND(('5Y – Cost Model'!$D$8-ROUND(192000+('5Y – Cost Model'!$D$8-192000)*267875/1714925,0)-ROUND(('5Y – Cost Model'!$D$8-192000)*1320000/1714925,0))*2500/115500,0)</f>
        <v>430</v>
      </c>
      <c r="S209" s="343">
        <f>ROUND(('5Y – Cost Model'!$D$8-ROUND(192000+('5Y – Cost Model'!$D$8-192000)*267875/1714925,0)-ROUND(('5Y – Cost Model'!$D$8-192000)*1320000/1714925,0))*5000/115500,0)</f>
        <v>859</v>
      </c>
      <c r="T209" s="343">
        <f>ROUND(('5Y – Cost Model'!$E$8-ROUND(192000+('5Y – Cost Model'!$E$8-192000)*603250/4699100,0)-ROUND(('5Y – Cost Model'!$E$8-192000)*3685000/4699100,0))*30000/373500,0)</f>
        <v>4236</v>
      </c>
      <c r="U209" s="46" t="s">
        <v>237</v>
      </c>
      <c r="V209" s="6"/>
      <c r="W209"/>
      <c r="X209"/>
      <c r="Y209"/>
      <c r="Z209"/>
      <c r="AA209"/>
      <c r="AB209"/>
    </row>
    <row r="210" spans="1:28" ht="15.5" customHeight="1" x14ac:dyDescent="0.25">
      <c r="A210"/>
      <c r="B210" s="85" t="s">
        <v>227</v>
      </c>
      <c r="C210" s="31" t="s">
        <v>33</v>
      </c>
      <c r="D210" s="83">
        <f>0</f>
        <v>0</v>
      </c>
      <c r="E210" s="343">
        <f>0</f>
        <v>0</v>
      </c>
      <c r="F210" s="343">
        <f>0</f>
        <v>0</v>
      </c>
      <c r="G210" s="343">
        <f>0</f>
        <v>0</v>
      </c>
      <c r="H210" s="343">
        <f>0</f>
        <v>0</v>
      </c>
      <c r="I210" s="343">
        <f>0</f>
        <v>0</v>
      </c>
      <c r="J210" s="343">
        <f>0</f>
        <v>0</v>
      </c>
      <c r="K210" s="343">
        <f>0</f>
        <v>0</v>
      </c>
      <c r="L210" s="343">
        <f>0</f>
        <v>0</v>
      </c>
      <c r="M210" s="343">
        <f>0</f>
        <v>0</v>
      </c>
      <c r="N210" s="343">
        <f>0</f>
        <v>0</v>
      </c>
      <c r="O210" s="343">
        <f>0</f>
        <v>0</v>
      </c>
      <c r="P210" s="343">
        <f>0</f>
        <v>0</v>
      </c>
      <c r="Q210" s="343">
        <f>ROUND(('5Y – Cost Model'!$D$8-ROUND(192000+('5Y – Cost Model'!$D$8-192000)*267875/1714925,0)-ROUND(('5Y – Cost Model'!$D$8-192000)*1320000/1714925,0))*6250/115500,0)</f>
        <v>1074</v>
      </c>
      <c r="R210" s="343">
        <f>ROUND(('5Y – Cost Model'!$D$8-ROUND(192000+('5Y – Cost Model'!$D$8-192000)*267875/1714925,0)-ROUND(('5Y – Cost Model'!$D$8-192000)*1320000/1714925,0))*12500/115500,0)</f>
        <v>2148</v>
      </c>
      <c r="S210" s="343">
        <f>('5Y – Cost Model'!$D$8-ROUND(192000+('5Y – Cost Model'!$D$8-192000)*267875/1714925,0)-ROUND(('5Y – Cost Model'!$D$8-192000)*1320000/1714925,0))-SUM(P207:S209,P210:R210)</f>
        <v>3222</v>
      </c>
      <c r="T210" s="343">
        <f>('5Y – Cost Model'!$E$8-ROUND(192000+('5Y – Cost Model'!$E$8-192000)*603250/4699100,0)-ROUND(('5Y – Cost Model'!$E$8-192000)*3685000/4699100,0))-SUM(T207:T209)</f>
        <v>19417</v>
      </c>
      <c r="U210" s="46" t="s">
        <v>237</v>
      </c>
      <c r="V210" s="6"/>
      <c r="W210"/>
      <c r="X210"/>
      <c r="Y210"/>
      <c r="Z210"/>
      <c r="AA210"/>
      <c r="AB210"/>
    </row>
    <row r="211" spans="1:28" ht="15.5" customHeight="1" x14ac:dyDescent="0.25">
      <c r="A211"/>
      <c r="B211" s="1"/>
      <c r="C211" s="31"/>
      <c r="D211"/>
      <c r="E211"/>
      <c r="F211"/>
      <c r="G211"/>
      <c r="H211"/>
      <c r="I211"/>
      <c r="J211"/>
      <c r="K211"/>
      <c r="L211"/>
      <c r="M211"/>
      <c r="N211"/>
      <c r="O211"/>
      <c r="P211"/>
      <c r="Q211"/>
      <c r="R211"/>
      <c r="S211"/>
      <c r="T211"/>
      <c r="U211" s="6"/>
      <c r="V211" s="6"/>
      <c r="W211"/>
      <c r="X211"/>
      <c r="Y211"/>
      <c r="Z211"/>
      <c r="AA211"/>
      <c r="AB211"/>
    </row>
    <row r="212" spans="1:28" ht="15.5" customHeight="1" x14ac:dyDescent="0.25">
      <c r="A212"/>
      <c r="B212" s="80" t="s">
        <v>182</v>
      </c>
      <c r="C212" s="31"/>
      <c r="D212" s="79" t="s">
        <v>16</v>
      </c>
      <c r="E212" s="79" t="s">
        <v>17</v>
      </c>
      <c r="F212" s="79" t="s">
        <v>18</v>
      </c>
      <c r="G212" s="79" t="s">
        <v>19</v>
      </c>
      <c r="H212" s="79" t="s">
        <v>20</v>
      </c>
      <c r="I212" s="79" t="s">
        <v>21</v>
      </c>
      <c r="J212" s="79" t="s">
        <v>22</v>
      </c>
      <c r="K212" s="79" t="s">
        <v>23</v>
      </c>
      <c r="L212" s="79" t="s">
        <v>24</v>
      </c>
      <c r="M212" s="79" t="s">
        <v>25</v>
      </c>
      <c r="N212" s="79" t="s">
        <v>26</v>
      </c>
      <c r="O212" s="79" t="s">
        <v>27</v>
      </c>
      <c r="P212" s="79" t="s">
        <v>28</v>
      </c>
      <c r="Q212" s="79" t="s">
        <v>29</v>
      </c>
      <c r="R212" s="79" t="s">
        <v>30</v>
      </c>
      <c r="S212" s="79" t="s">
        <v>31</v>
      </c>
      <c r="T212" s="79" t="s">
        <v>32</v>
      </c>
      <c r="U212" s="6"/>
      <c r="V212" s="6"/>
      <c r="W212"/>
      <c r="X212"/>
      <c r="Y212"/>
      <c r="Z212"/>
      <c r="AA212"/>
      <c r="AB212"/>
    </row>
    <row r="213" spans="1:28" ht="15.5" customHeight="1" x14ac:dyDescent="0.25">
      <c r="A213"/>
      <c r="B213" s="85" t="s">
        <v>183</v>
      </c>
      <c r="C213" s="226" t="s">
        <v>33</v>
      </c>
      <c r="D213" s="84">
        <f>0</f>
        <v>0</v>
      </c>
      <c r="E213" s="84">
        <f>0</f>
        <v>0</v>
      </c>
      <c r="F213" s="84">
        <f>0</f>
        <v>0</v>
      </c>
      <c r="G213" s="84">
        <f>0</f>
        <v>0</v>
      </c>
      <c r="H213" s="84">
        <f>0</f>
        <v>0</v>
      </c>
      <c r="I213" s="84">
        <f>0</f>
        <v>0</v>
      </c>
      <c r="J213" s="84">
        <f>0</f>
        <v>0</v>
      </c>
      <c r="K213" s="84">
        <f>0</f>
        <v>0</v>
      </c>
      <c r="L213" s="84">
        <f>0</f>
        <v>0</v>
      </c>
      <c r="M213" s="84">
        <f>0</f>
        <v>0</v>
      </c>
      <c r="N213" s="84">
        <f>0</f>
        <v>0</v>
      </c>
      <c r="O213" s="84">
        <f>0</f>
        <v>0</v>
      </c>
      <c r="P213" s="84">
        <f>0</f>
        <v>0</v>
      </c>
      <c r="Q213" s="84">
        <f>'5Y – Cost Model'!$D$10*1/21</f>
        <v>800</v>
      </c>
      <c r="R213" s="84">
        <f>'5Y – Cost Model'!$D$10*2/21</f>
        <v>1600</v>
      </c>
      <c r="S213" s="84">
        <f>'5Y – Cost Model'!$D$10*1/7</f>
        <v>2400</v>
      </c>
      <c r="T213" s="84">
        <f>'5Y – Cost Model'!$E$10*4/9</f>
        <v>9600</v>
      </c>
      <c r="U213" s="224" t="s">
        <v>238</v>
      </c>
      <c r="V213" s="6"/>
      <c r="W213"/>
      <c r="X213"/>
      <c r="Y213"/>
      <c r="Z213"/>
      <c r="AA213"/>
      <c r="AB213"/>
    </row>
    <row r="214" spans="1:28" ht="15.5" customHeight="1" x14ac:dyDescent="0.25">
      <c r="A214"/>
      <c r="B214" s="4" t="s">
        <v>185</v>
      </c>
      <c r="C214" s="31" t="s">
        <v>33</v>
      </c>
      <c r="D214" s="84">
        <f>0</f>
        <v>0</v>
      </c>
      <c r="E214" s="84">
        <f>0</f>
        <v>0</v>
      </c>
      <c r="F214" s="84">
        <f>0</f>
        <v>0</v>
      </c>
      <c r="G214" s="84">
        <f>0</f>
        <v>0</v>
      </c>
      <c r="H214" s="84">
        <f>0</f>
        <v>0</v>
      </c>
      <c r="I214" s="84">
        <f>0</f>
        <v>0</v>
      </c>
      <c r="J214" s="84">
        <f>0</f>
        <v>0</v>
      </c>
      <c r="K214" s="84">
        <f>0</f>
        <v>0</v>
      </c>
      <c r="L214" s="84">
        <f>0</f>
        <v>0</v>
      </c>
      <c r="M214" s="84">
        <f>0</f>
        <v>0</v>
      </c>
      <c r="N214" s="84">
        <f>0</f>
        <v>0</v>
      </c>
      <c r="O214" s="84">
        <f>0</f>
        <v>0</v>
      </c>
      <c r="P214" s="84">
        <f>0</f>
        <v>0</v>
      </c>
      <c r="Q214" s="84">
        <f>'5Y – Cost Model'!$D$9*1/52</f>
        <v>468.75</v>
      </c>
      <c r="R214" s="84">
        <f>'5Y – Cost Model'!$D$9*3/52</f>
        <v>1406.25</v>
      </c>
      <c r="S214" s="84">
        <f>'5Y – Cost Model'!$D$9*3/26</f>
        <v>2812.5</v>
      </c>
      <c r="T214" s="84">
        <f>'5Y – Cost Model'!$E$9*3/14</f>
        <v>5625</v>
      </c>
      <c r="U214" s="224" t="s">
        <v>239</v>
      </c>
      <c r="V214" s="224"/>
      <c r="W214"/>
      <c r="X214"/>
      <c r="Y214"/>
      <c r="Z214"/>
      <c r="AA214"/>
      <c r="AB214"/>
    </row>
    <row r="215" spans="1:28" ht="15.5" customHeight="1" x14ac:dyDescent="0.25">
      <c r="A215"/>
      <c r="B215" s="101" t="s">
        <v>187</v>
      </c>
      <c r="C215" s="226" t="s">
        <v>33</v>
      </c>
      <c r="D215" s="84">
        <v>0</v>
      </c>
      <c r="E215" s="84">
        <v>0</v>
      </c>
      <c r="F215" s="84">
        <v>0</v>
      </c>
      <c r="G215" s="84">
        <v>0</v>
      </c>
      <c r="H215" s="84">
        <v>0</v>
      </c>
      <c r="I215" s="84">
        <v>0</v>
      </c>
      <c r="J215" s="84">
        <v>0</v>
      </c>
      <c r="K215" s="84">
        <v>0</v>
      </c>
      <c r="L215" s="84">
        <v>0</v>
      </c>
      <c r="M215" s="84">
        <v>0</v>
      </c>
      <c r="N215" s="84">
        <v>0</v>
      </c>
      <c r="O215" s="84">
        <v>0</v>
      </c>
      <c r="P215" s="84">
        <v>0</v>
      </c>
      <c r="Q215" s="84">
        <v>0</v>
      </c>
      <c r="R215" s="84">
        <v>0</v>
      </c>
      <c r="S215" s="84">
        <v>0</v>
      </c>
      <c r="T215" s="84">
        <v>0</v>
      </c>
      <c r="U215" s="224" t="s">
        <v>240</v>
      </c>
      <c r="V215" s="6"/>
      <c r="W215"/>
      <c r="X215"/>
      <c r="Y215"/>
      <c r="Z215"/>
      <c r="AA215"/>
      <c r="AB215"/>
    </row>
    <row r="216" spans="1:28" ht="15.5" customHeight="1" x14ac:dyDescent="0.25">
      <c r="A216"/>
      <c r="B216" s="1"/>
      <c r="C216" s="31"/>
      <c r="D216"/>
      <c r="E216"/>
      <c r="F216"/>
      <c r="G216"/>
      <c r="H216"/>
      <c r="I216"/>
      <c r="J216"/>
      <c r="K216"/>
      <c r="L216"/>
      <c r="M216"/>
      <c r="N216"/>
      <c r="O216"/>
      <c r="P216"/>
      <c r="Q216"/>
      <c r="R216"/>
      <c r="S216"/>
      <c r="T216"/>
      <c r="U216" s="6"/>
      <c r="V216" s="6"/>
      <c r="W216"/>
      <c r="X216"/>
      <c r="Y216"/>
      <c r="Z216"/>
      <c r="AA216"/>
      <c r="AB216"/>
    </row>
    <row r="217" spans="1:28" ht="15.5" customHeight="1" x14ac:dyDescent="0.25">
      <c r="A217"/>
      <c r="B217" s="1"/>
      <c r="C217" s="31"/>
      <c r="D217"/>
      <c r="E217"/>
      <c r="F217"/>
      <c r="G217"/>
      <c r="H217"/>
      <c r="I217"/>
      <c r="J217"/>
      <c r="K217"/>
      <c r="L217"/>
      <c r="M217"/>
      <c r="N217"/>
      <c r="O217"/>
      <c r="P217"/>
      <c r="Q217"/>
      <c r="R217"/>
      <c r="S217"/>
      <c r="T217"/>
      <c r="U217" s="46"/>
      <c r="V217" s="6"/>
      <c r="W217"/>
      <c r="X217"/>
      <c r="Y217"/>
      <c r="Z217"/>
      <c r="AA217"/>
      <c r="AB217"/>
    </row>
    <row r="218" spans="1:28" ht="15.5" customHeight="1" x14ac:dyDescent="0.25">
      <c r="A218"/>
      <c r="B218" s="80" t="s">
        <v>189</v>
      </c>
      <c r="C218" s="31"/>
      <c r="D218" s="79" t="s">
        <v>16</v>
      </c>
      <c r="E218" s="79" t="s">
        <v>17</v>
      </c>
      <c r="F218" s="79" t="s">
        <v>18</v>
      </c>
      <c r="G218" s="79" t="s">
        <v>19</v>
      </c>
      <c r="H218" s="79" t="s">
        <v>20</v>
      </c>
      <c r="I218" s="79" t="s">
        <v>21</v>
      </c>
      <c r="J218" s="79" t="s">
        <v>22</v>
      </c>
      <c r="K218" s="79" t="s">
        <v>23</v>
      </c>
      <c r="L218" s="79" t="s">
        <v>24</v>
      </c>
      <c r="M218" s="79" t="s">
        <v>25</v>
      </c>
      <c r="N218" s="79" t="s">
        <v>26</v>
      </c>
      <c r="O218" s="79" t="s">
        <v>27</v>
      </c>
      <c r="P218" s="79" t="s">
        <v>28</v>
      </c>
      <c r="Q218" s="79" t="s">
        <v>29</v>
      </c>
      <c r="R218" s="79" t="s">
        <v>30</v>
      </c>
      <c r="S218" s="79" t="s">
        <v>31</v>
      </c>
      <c r="T218" s="79" t="s">
        <v>32</v>
      </c>
      <c r="U218" s="6"/>
      <c r="V218" s="6"/>
      <c r="W218"/>
      <c r="X218"/>
      <c r="Y218"/>
      <c r="Z218"/>
      <c r="AA218"/>
      <c r="AB218"/>
    </row>
    <row r="219" spans="1:28" ht="15.5" customHeight="1" x14ac:dyDescent="0.25">
      <c r="A219"/>
      <c r="B219" s="85" t="s">
        <v>190</v>
      </c>
      <c r="C219" s="226" t="s">
        <v>33</v>
      </c>
      <c r="D219" s="83">
        <f>0</f>
        <v>0</v>
      </c>
      <c r="E219" s="83">
        <f>0</f>
        <v>0</v>
      </c>
      <c r="F219" s="83">
        <f>0</f>
        <v>0</v>
      </c>
      <c r="G219" s="83">
        <f>0</f>
        <v>0</v>
      </c>
      <c r="H219" s="83">
        <f>0</f>
        <v>0</v>
      </c>
      <c r="I219" s="83">
        <f>0</f>
        <v>0</v>
      </c>
      <c r="J219" s="83">
        <f>0</f>
        <v>0</v>
      </c>
      <c r="K219" s="83">
        <f>0</f>
        <v>0</v>
      </c>
      <c r="L219" s="83">
        <f>0</f>
        <v>0</v>
      </c>
      <c r="M219" s="83">
        <f>0</f>
        <v>0</v>
      </c>
      <c r="N219" s="83">
        <f>0</f>
        <v>0</v>
      </c>
      <c r="O219" s="83">
        <f>0</f>
        <v>0</v>
      </c>
      <c r="P219" s="83">
        <f>0</f>
        <v>0</v>
      </c>
      <c r="Q219" s="83">
        <f>ROUND('5Y – Cost Model'!$D$20*50000/2007750,2)</f>
        <v>6225.87</v>
      </c>
      <c r="R219" s="83">
        <f>ROUND('5Y – Cost Model'!$D$20*150000/2007750,2)</f>
        <v>18677.62</v>
      </c>
      <c r="S219" s="83">
        <f>ROUND('5Y – Cost Model'!$D$20*200000/2007750,2)</f>
        <v>24903.5</v>
      </c>
      <c r="T219" s="83">
        <f>ROUND('5Y – Cost Model'!$E$20*600000/2575000,2)</f>
        <v>93203.88</v>
      </c>
      <c r="U219" s="221" t="s">
        <v>241</v>
      </c>
      <c r="V219" s="6"/>
      <c r="W219"/>
      <c r="X219"/>
      <c r="Y219"/>
      <c r="Z219"/>
      <c r="AA219"/>
      <c r="AB219"/>
    </row>
    <row r="220" spans="1:28" ht="15.5" customHeight="1" x14ac:dyDescent="0.25">
      <c r="A220"/>
      <c r="B220" s="85" t="s">
        <v>192</v>
      </c>
      <c r="C220" s="226" t="s">
        <v>33</v>
      </c>
      <c r="D220" s="342">
        <f>0</f>
        <v>0</v>
      </c>
      <c r="E220" s="342">
        <f>0</f>
        <v>0</v>
      </c>
      <c r="F220" s="342">
        <f>0</f>
        <v>0</v>
      </c>
      <c r="G220" s="342">
        <f>0</f>
        <v>0</v>
      </c>
      <c r="H220" s="342">
        <f>0</f>
        <v>0</v>
      </c>
      <c r="I220" s="342">
        <f>0</f>
        <v>0</v>
      </c>
      <c r="J220" s="342">
        <f>ROUND('5Y – Cost Model'!$C$20*781.25/92812.5,2)</f>
        <v>757.58</v>
      </c>
      <c r="K220" s="342">
        <f>ROUND('5Y – Cost Model'!$C$20*781.25/92812.5,2)</f>
        <v>757.58</v>
      </c>
      <c r="L220" s="342">
        <f>ROUND('5Y – Cost Model'!$C$20*781.25/92812.5,2)</f>
        <v>757.58</v>
      </c>
      <c r="M220" s="83">
        <f>ROUND('5Y – Cost Model'!$C$20*3125/92812.5,2)</f>
        <v>3030.3</v>
      </c>
      <c r="N220" s="83">
        <f>ROUND('5Y – Cost Model'!$C$20*3125/92812.5,2)</f>
        <v>3030.3</v>
      </c>
      <c r="O220" s="83">
        <f>'5Y – Cost Model'!$C$20-SUM(D128:O128,D129:O129,D185:O185,D186:O186,D219:O219,D220:N220)</f>
        <v>3030.2999999999738</v>
      </c>
      <c r="P220" s="83">
        <f>ROUND('5Y – Cost Model'!$D$20*9000/2007750,2)</f>
        <v>1120.6600000000001</v>
      </c>
      <c r="Q220" s="83">
        <f>ROUND('5Y – Cost Model'!$D$20*25000/2007750,2)</f>
        <v>3112.94</v>
      </c>
      <c r="R220" s="83">
        <f>ROUND('5Y – Cost Model'!$D$20*50000/2007750,2)</f>
        <v>6225.87</v>
      </c>
      <c r="S220" s="83">
        <f>'5Y – Cost Model'!$D$20-SUM(P128:S128,P129:S129,P185:S185,P186:S186,P219:S219,P220:R220)</f>
        <v>12451.779999999999</v>
      </c>
      <c r="T220" s="83">
        <f>'5Y – Cost Model'!$E$20-SUM(T128,T129,T185,T186,T219)</f>
        <v>62135.920000000042</v>
      </c>
      <c r="U220" s="221" t="s">
        <v>242</v>
      </c>
      <c r="V220" s="6"/>
      <c r="W220"/>
      <c r="X220"/>
      <c r="Y220"/>
      <c r="Z220"/>
      <c r="AA220"/>
      <c r="AB220"/>
    </row>
    <row r="221" spans="1:28" ht="15.5" customHeight="1" x14ac:dyDescent="0.25">
      <c r="A221"/>
      <c r="B221" s="1"/>
      <c r="C221"/>
      <c r="D221"/>
      <c r="E221"/>
      <c r="F221"/>
      <c r="G221"/>
      <c r="H221"/>
      <c r="I221"/>
      <c r="J221"/>
      <c r="K221"/>
      <c r="L221"/>
      <c r="M221"/>
      <c r="N221"/>
      <c r="O221"/>
      <c r="P221"/>
      <c r="Q221"/>
      <c r="R221"/>
      <c r="S221"/>
      <c r="T221"/>
      <c r="U221" s="6"/>
      <c r="V221" s="6"/>
      <c r="W221"/>
      <c r="X221"/>
      <c r="Y221"/>
      <c r="Z221"/>
      <c r="AA221"/>
      <c r="AB221"/>
    </row>
    <row r="222" spans="1:28" ht="15.5" customHeight="1" x14ac:dyDescent="0.25">
      <c r="A222"/>
      <c r="B222" s="80" t="s">
        <v>194</v>
      </c>
      <c r="C222" s="31"/>
      <c r="D222" s="79" t="s">
        <v>16</v>
      </c>
      <c r="E222" s="79" t="s">
        <v>17</v>
      </c>
      <c r="F222" s="79" t="s">
        <v>18</v>
      </c>
      <c r="G222" s="79" t="s">
        <v>19</v>
      </c>
      <c r="H222" s="79" t="s">
        <v>20</v>
      </c>
      <c r="I222" s="79" t="s">
        <v>21</v>
      </c>
      <c r="J222" s="79" t="s">
        <v>22</v>
      </c>
      <c r="K222" s="79" t="s">
        <v>23</v>
      </c>
      <c r="L222" s="79" t="s">
        <v>24</v>
      </c>
      <c r="M222" s="79" t="s">
        <v>25</v>
      </c>
      <c r="N222" s="79" t="s">
        <v>26</v>
      </c>
      <c r="O222" s="79" t="s">
        <v>27</v>
      </c>
      <c r="P222" s="79" t="s">
        <v>28</v>
      </c>
      <c r="Q222" s="79" t="s">
        <v>29</v>
      </c>
      <c r="R222" s="79" t="s">
        <v>30</v>
      </c>
      <c r="S222" s="79" t="s">
        <v>31</v>
      </c>
      <c r="T222" s="79" t="s">
        <v>32</v>
      </c>
      <c r="U222" s="6"/>
      <c r="V222" s="6"/>
      <c r="W222"/>
      <c r="X222"/>
      <c r="Y222"/>
      <c r="Z222"/>
      <c r="AA222"/>
      <c r="AB222"/>
    </row>
    <row r="223" spans="1:28" ht="15.5" customHeight="1" x14ac:dyDescent="0.25">
      <c r="A223"/>
      <c r="B223" s="85" t="s">
        <v>195</v>
      </c>
      <c r="C223" s="226" t="s">
        <v>33</v>
      </c>
      <c r="D223" s="83">
        <v>0</v>
      </c>
      <c r="E223" s="83">
        <v>0</v>
      </c>
      <c r="F223" s="83">
        <v>0</v>
      </c>
      <c r="G223" s="83">
        <v>0</v>
      </c>
      <c r="H223" s="83">
        <v>0</v>
      </c>
      <c r="I223" s="83">
        <v>0</v>
      </c>
      <c r="J223" s="83">
        <v>0</v>
      </c>
      <c r="K223" s="83">
        <v>0</v>
      </c>
      <c r="L223" s="83">
        <v>0</v>
      </c>
      <c r="M223" s="83">
        <v>0</v>
      </c>
      <c r="N223" s="83">
        <v>0</v>
      </c>
      <c r="O223" s="83">
        <v>0</v>
      </c>
      <c r="P223" s="83">
        <v>0</v>
      </c>
      <c r="Q223" s="83">
        <v>3000</v>
      </c>
      <c r="R223" s="83">
        <v>40000</v>
      </c>
      <c r="S223" s="83">
        <v>60000</v>
      </c>
      <c r="T223" s="83">
        <v>300000</v>
      </c>
      <c r="U223" s="131" t="s">
        <v>243</v>
      </c>
      <c r="V223" s="6"/>
      <c r="W223"/>
      <c r="X223"/>
      <c r="Y223"/>
      <c r="Z223"/>
      <c r="AA223"/>
      <c r="AB223"/>
    </row>
    <row r="224" spans="1:28" ht="15.5" customHeight="1" x14ac:dyDescent="0.25">
      <c r="A224"/>
      <c r="B224" s="1"/>
      <c r="C224" s="31"/>
      <c r="D224" s="79"/>
      <c r="E224" s="79"/>
      <c r="F224" s="79"/>
      <c r="G224" s="79"/>
      <c r="H224" s="79"/>
      <c r="I224" s="79"/>
      <c r="J224" s="79"/>
      <c r="K224" s="79"/>
      <c r="L224" s="79"/>
      <c r="M224" s="79"/>
      <c r="N224" s="79"/>
      <c r="O224" s="79"/>
      <c r="P224" s="79"/>
      <c r="Q224" s="79"/>
      <c r="R224" s="79"/>
      <c r="S224" s="79"/>
      <c r="T224" s="79"/>
      <c r="U224" s="6"/>
      <c r="V224" s="6"/>
      <c r="W224"/>
      <c r="X224"/>
      <c r="Y224"/>
      <c r="Z224"/>
      <c r="AA224"/>
      <c r="AB224"/>
    </row>
    <row r="225" spans="1:41" ht="15.5" customHeight="1" x14ac:dyDescent="0.25">
      <c r="A225"/>
      <c r="B225" s="80"/>
      <c r="C225" s="31"/>
      <c r="D225" s="76"/>
      <c r="E225" s="76"/>
      <c r="F225" s="76"/>
      <c r="G225" s="76"/>
      <c r="H225" s="76"/>
      <c r="I225" s="76"/>
      <c r="J225" s="76"/>
      <c r="K225" s="76"/>
      <c r="L225" s="76"/>
      <c r="M225" s="76"/>
      <c r="N225" s="76"/>
      <c r="O225" s="76"/>
      <c r="P225"/>
      <c r="Q225"/>
      <c r="R225"/>
      <c r="S225"/>
      <c r="T225"/>
      <c r="U225" s="46"/>
      <c r="V225" s="6"/>
      <c r="W225"/>
      <c r="X225"/>
      <c r="Y225"/>
      <c r="Z225"/>
      <c r="AA225"/>
      <c r="AB225"/>
    </row>
    <row r="226" spans="1:41" ht="15.5" customHeight="1" x14ac:dyDescent="0.25">
      <c r="A226"/>
      <c r="B226" s="80" t="s">
        <v>244</v>
      </c>
      <c r="C226" s="31" t="s">
        <v>33</v>
      </c>
      <c r="D226" s="86">
        <v>0</v>
      </c>
      <c r="E226" s="76"/>
      <c r="F226" s="76"/>
      <c r="G226" s="76"/>
      <c r="H226" s="76"/>
      <c r="I226" s="76"/>
      <c r="J226" s="76"/>
      <c r="K226" s="76"/>
      <c r="L226" s="76"/>
      <c r="M226" s="76"/>
      <c r="N226" s="76"/>
      <c r="O226" s="76"/>
      <c r="P226"/>
      <c r="Q226"/>
      <c r="R226"/>
      <c r="S226"/>
      <c r="T226"/>
      <c r="U226" s="46" t="s">
        <v>245</v>
      </c>
      <c r="V226" s="6"/>
      <c r="W226"/>
      <c r="X226"/>
      <c r="Y226"/>
      <c r="Z226"/>
      <c r="AA226"/>
      <c r="AB226"/>
    </row>
    <row r="227" spans="1:41" ht="15.5" customHeight="1" x14ac:dyDescent="0.25">
      <c r="A227"/>
      <c r="B227" s="1"/>
      <c r="C227" s="31"/>
      <c r="D227"/>
      <c r="E227"/>
      <c r="F227"/>
      <c r="G227"/>
      <c r="H227"/>
      <c r="I227"/>
      <c r="J227"/>
      <c r="K227"/>
      <c r="L227"/>
      <c r="M227"/>
      <c r="N227"/>
      <c r="O227"/>
      <c r="P227"/>
      <c r="Q227"/>
      <c r="R227"/>
      <c r="S227"/>
      <c r="T227"/>
      <c r="U227" s="6"/>
      <c r="V227" s="6"/>
      <c r="W227"/>
      <c r="X227"/>
      <c r="Y227"/>
      <c r="Z227"/>
      <c r="AA227"/>
      <c r="AB227"/>
    </row>
    <row r="228" spans="1:41" ht="15.5" customHeight="1" x14ac:dyDescent="0.25">
      <c r="A228" s="22"/>
      <c r="B228" s="71" t="s">
        <v>262</v>
      </c>
      <c r="C228" s="60"/>
      <c r="D228" s="61"/>
      <c r="E228" s="61"/>
      <c r="F228" s="61"/>
      <c r="G228" s="61"/>
      <c r="H228" s="61"/>
      <c r="I228" s="61"/>
      <c r="J228" s="61"/>
      <c r="K228" s="61"/>
      <c r="L228" s="61"/>
      <c r="M228" s="61"/>
      <c r="N228" s="61"/>
      <c r="O228" s="61"/>
      <c r="P228" s="61"/>
      <c r="Q228" s="61"/>
      <c r="R228" s="61"/>
      <c r="S228" s="61"/>
      <c r="T228" s="61"/>
      <c r="U228" s="216"/>
      <c r="V228" s="216"/>
      <c r="W228" s="61"/>
      <c r="X228" s="61"/>
      <c r="Y228" s="61"/>
      <c r="Z228" s="61"/>
      <c r="AA228" s="22"/>
      <c r="AB228" s="22"/>
      <c r="AC228" s="22"/>
      <c r="AD228" s="22"/>
      <c r="AE228" s="22"/>
      <c r="AF228" s="22"/>
      <c r="AG228" s="22"/>
      <c r="AH228" s="22"/>
      <c r="AI228" s="22"/>
      <c r="AJ228" s="22"/>
      <c r="AK228" s="22"/>
      <c r="AL228" s="22"/>
      <c r="AM228" s="22"/>
      <c r="AN228" s="22"/>
      <c r="AO228" s="22"/>
    </row>
    <row r="229" spans="1:41" ht="15.5" customHeight="1" x14ac:dyDescent="0.25">
      <c r="A229"/>
      <c r="B229" s="1"/>
      <c r="C229" s="31"/>
      <c r="D229"/>
      <c r="E229"/>
      <c r="F229"/>
      <c r="G229"/>
      <c r="H229"/>
      <c r="I229"/>
      <c r="J229"/>
      <c r="K229"/>
      <c r="L229"/>
      <c r="M229"/>
      <c r="N229"/>
      <c r="O229"/>
      <c r="P229"/>
      <c r="Q229"/>
      <c r="R229"/>
      <c r="S229"/>
      <c r="T229"/>
      <c r="U229" s="6"/>
      <c r="V229" s="6"/>
      <c r="W229"/>
      <c r="X229"/>
      <c r="Y229"/>
      <c r="Z229"/>
      <c r="AA229"/>
      <c r="AB229"/>
    </row>
    <row r="230" spans="1:41" ht="15.5" customHeight="1" x14ac:dyDescent="0.25">
      <c r="A230"/>
      <c r="B230" s="80" t="s">
        <v>246</v>
      </c>
      <c r="C230" s="31"/>
      <c r="D230"/>
      <c r="E230"/>
      <c r="F230"/>
      <c r="G230"/>
      <c r="H230"/>
      <c r="I230"/>
      <c r="J230"/>
      <c r="K230"/>
      <c r="L230"/>
      <c r="M230"/>
      <c r="N230"/>
      <c r="O230"/>
      <c r="P230"/>
      <c r="Q230"/>
      <c r="R230"/>
      <c r="S230"/>
      <c r="T230"/>
      <c r="U230" s="6"/>
      <c r="V230" s="6"/>
      <c r="W230"/>
      <c r="X230"/>
      <c r="Y230"/>
      <c r="Z230"/>
      <c r="AA230"/>
      <c r="AB230"/>
    </row>
    <row r="231" spans="1:41" ht="15.5" customHeight="1" x14ac:dyDescent="0.25">
      <c r="A231"/>
      <c r="B231" s="72" t="s">
        <v>247</v>
      </c>
      <c r="C231" s="31" t="s">
        <v>33</v>
      </c>
      <c r="D231" s="83">
        <v>0</v>
      </c>
      <c r="E231" s="34"/>
      <c r="F231" s="22"/>
      <c r="G231" s="34"/>
      <c r="H231" s="34"/>
      <c r="I231" s="34"/>
      <c r="J231" s="34"/>
      <c r="K231" s="34"/>
      <c r="L231" s="34"/>
      <c r="M231" s="34"/>
      <c r="N231" s="34"/>
      <c r="O231" s="34"/>
      <c r="P231"/>
      <c r="Q231"/>
      <c r="R231"/>
      <c r="S231"/>
      <c r="T231"/>
      <c r="U231" s="6" t="s">
        <v>248</v>
      </c>
      <c r="V231" s="6"/>
      <c r="W231"/>
      <c r="X231"/>
      <c r="Y231"/>
      <c r="Z231"/>
      <c r="AA231"/>
      <c r="AB231"/>
    </row>
    <row r="232" spans="1:41" ht="15.5" customHeight="1" x14ac:dyDescent="0.25">
      <c r="A232"/>
      <c r="B232" s="72" t="s">
        <v>249</v>
      </c>
      <c r="C232" s="31" t="s">
        <v>33</v>
      </c>
      <c r="D232" s="75">
        <v>0</v>
      </c>
      <c r="E232" s="76"/>
      <c r="F232" s="22"/>
      <c r="G232" s="76"/>
      <c r="H232" s="76"/>
      <c r="I232" s="76"/>
      <c r="J232" s="76"/>
      <c r="K232" s="76"/>
      <c r="L232" s="76"/>
      <c r="M232" s="76"/>
      <c r="N232" s="76"/>
      <c r="O232" s="76"/>
      <c r="P232"/>
      <c r="Q232"/>
      <c r="R232"/>
      <c r="S232"/>
      <c r="T232"/>
      <c r="U232" s="6" t="s">
        <v>250</v>
      </c>
      <c r="V232" s="6"/>
      <c r="W232"/>
      <c r="X232"/>
      <c r="Y232"/>
      <c r="Z232"/>
      <c r="AA232"/>
      <c r="AB232"/>
    </row>
    <row r="233" spans="1:41" ht="10.4" customHeight="1" x14ac:dyDescent="0.25">
      <c r="B233" s="80"/>
      <c r="C233" s="31"/>
    </row>
    <row r="234" spans="1:41" ht="10.4" customHeight="1" x14ac:dyDescent="0.25"/>
    <row r="235" spans="1:41" ht="10.4" customHeight="1" x14ac:dyDescent="0.25"/>
    <row r="236" spans="1:41" ht="10.4" customHeight="1" x14ac:dyDescent="0.25"/>
    <row r="237" spans="1:41" ht="10.4" customHeight="1" x14ac:dyDescent="0.25"/>
    <row r="238" spans="1:41" ht="10.4" customHeight="1" x14ac:dyDescent="0.25"/>
    <row r="239" spans="1:41" ht="10.4" customHeight="1" x14ac:dyDescent="0.25"/>
    <row r="240" spans="1:41" ht="10.4" customHeight="1" x14ac:dyDescent="0.25"/>
    <row r="241" spans="3:3" ht="10.4" customHeight="1" x14ac:dyDescent="0.25"/>
    <row r="242" spans="3:3" ht="10.4" customHeight="1" x14ac:dyDescent="0.25"/>
    <row r="243" spans="3:3" ht="10.4" customHeight="1" x14ac:dyDescent="0.25"/>
    <row r="244" spans="3:3" ht="10.4" customHeight="1" x14ac:dyDescent="0.25"/>
    <row r="245" spans="3:3" ht="10.4" customHeight="1" x14ac:dyDescent="0.25"/>
    <row r="246" spans="3:3" ht="10.4" customHeight="1" x14ac:dyDescent="0.25"/>
    <row r="247" spans="3:3" ht="10.4" customHeight="1" x14ac:dyDescent="0.25"/>
    <row r="248" spans="3:3" ht="10.4" customHeight="1" x14ac:dyDescent="0.25"/>
    <row r="249" spans="3:3" ht="10.4" customHeight="1" x14ac:dyDescent="0.25"/>
    <row r="250" spans="3:3" ht="10.4" customHeight="1" x14ac:dyDescent="0.25"/>
    <row r="251" spans="3:3" ht="10.4" customHeight="1" x14ac:dyDescent="0.25"/>
    <row r="252" spans="3:3" ht="10.4" customHeight="1" x14ac:dyDescent="0.25"/>
    <row r="253" spans="3:3" ht="10.4" customHeight="1" x14ac:dyDescent="0.25"/>
    <row r="254" spans="3:3" ht="10.4" customHeight="1" x14ac:dyDescent="0.25"/>
    <row r="255" spans="3:3" ht="10.4" customHeight="1" x14ac:dyDescent="0.25">
      <c r="C255" s="31"/>
    </row>
    <row r="256" spans="3:3" ht="10.4" customHeight="1" x14ac:dyDescent="0.25">
      <c r="C256" s="31"/>
    </row>
    <row r="257" spans="3:3" ht="10.4" customHeight="1" x14ac:dyDescent="0.25">
      <c r="C257" s="31"/>
    </row>
    <row r="258" spans="3:3" ht="10.4" customHeight="1" x14ac:dyDescent="0.25">
      <c r="C258" s="31"/>
    </row>
    <row r="259" spans="3:3" ht="10.4" customHeight="1" x14ac:dyDescent="0.25">
      <c r="C259" s="31"/>
    </row>
    <row r="260" spans="3:3" ht="10.4" customHeight="1" x14ac:dyDescent="0.25">
      <c r="C260" s="31"/>
    </row>
    <row r="261" spans="3:3" ht="10.4" customHeight="1" x14ac:dyDescent="0.25">
      <c r="C261" s="31"/>
    </row>
    <row r="262" spans="3:3" ht="10.4" customHeight="1" x14ac:dyDescent="0.25">
      <c r="C262" s="31"/>
    </row>
    <row r="263" spans="3:3" ht="10.4" customHeight="1" x14ac:dyDescent="0.25">
      <c r="C263" s="31"/>
    </row>
    <row r="264" spans="3:3" ht="10.4" customHeight="1" x14ac:dyDescent="0.25">
      <c r="C264" s="31"/>
    </row>
    <row r="265" spans="3:3" ht="10.4" customHeight="1" x14ac:dyDescent="0.25">
      <c r="C265" s="31"/>
    </row>
    <row r="266" spans="3:3" ht="10.4" customHeight="1" x14ac:dyDescent="0.25">
      <c r="C266" s="31"/>
    </row>
    <row r="267" spans="3:3" ht="10.4" customHeight="1" x14ac:dyDescent="0.25">
      <c r="C267" s="31"/>
    </row>
    <row r="268" spans="3:3" ht="10.4" customHeight="1" x14ac:dyDescent="0.25">
      <c r="C268" s="31"/>
    </row>
    <row r="269" spans="3:3" ht="10.4" customHeight="1" x14ac:dyDescent="0.25">
      <c r="C269" s="31"/>
    </row>
    <row r="270" spans="3:3" ht="10.4" customHeight="1" x14ac:dyDescent="0.25">
      <c r="C270" s="31"/>
    </row>
    <row r="271" spans="3:3" ht="10.4" customHeight="1" x14ac:dyDescent="0.25">
      <c r="C271" s="31"/>
    </row>
    <row r="272" spans="3:3" ht="10.4" customHeight="1" x14ac:dyDescent="0.25">
      <c r="C272" s="31"/>
    </row>
    <row r="273" spans="3:3" ht="10.4" customHeight="1" x14ac:dyDescent="0.25">
      <c r="C273" s="31"/>
    </row>
    <row r="274" spans="3:3" ht="10.4" customHeight="1" x14ac:dyDescent="0.25">
      <c r="C274" s="31"/>
    </row>
    <row r="275" spans="3:3" ht="10.4" customHeight="1" x14ac:dyDescent="0.25">
      <c r="C275" s="31"/>
    </row>
    <row r="276" spans="3:3" ht="10.4" customHeight="1" x14ac:dyDescent="0.25">
      <c r="C276" s="31"/>
    </row>
    <row r="277" spans="3:3" ht="10.4" customHeight="1" x14ac:dyDescent="0.25">
      <c r="C277" s="31"/>
    </row>
    <row r="278" spans="3:3" ht="10.4" customHeight="1" x14ac:dyDescent="0.25">
      <c r="C278" s="31"/>
    </row>
    <row r="279" spans="3:3" ht="10.4" customHeight="1" x14ac:dyDescent="0.25">
      <c r="C279" s="31"/>
    </row>
    <row r="280" spans="3:3" ht="10.4" customHeight="1" x14ac:dyDescent="0.25">
      <c r="C280" s="31"/>
    </row>
    <row r="281" spans="3:3" ht="10.4" customHeight="1" x14ac:dyDescent="0.25">
      <c r="C281" s="31"/>
    </row>
    <row r="282" spans="3:3" ht="10.4" customHeight="1" x14ac:dyDescent="0.25">
      <c r="C282" s="31"/>
    </row>
    <row r="283" spans="3:3" ht="10.4" customHeight="1" x14ac:dyDescent="0.25">
      <c r="C283" s="31"/>
    </row>
    <row r="284" spans="3:3" ht="10.4" customHeight="1" x14ac:dyDescent="0.25">
      <c r="C284" s="31"/>
    </row>
    <row r="285" spans="3:3" ht="10.4" customHeight="1" x14ac:dyDescent="0.25">
      <c r="C285" s="31"/>
    </row>
    <row r="286" spans="3:3" ht="10.4" customHeight="1" x14ac:dyDescent="0.25">
      <c r="C286" s="31"/>
    </row>
    <row r="287" spans="3:3" ht="10.4" customHeight="1" x14ac:dyDescent="0.25">
      <c r="C287" s="31"/>
    </row>
    <row r="288" spans="3:3" ht="10.4" customHeight="1" x14ac:dyDescent="0.25">
      <c r="C288" s="31"/>
    </row>
    <row r="289" spans="3:3" ht="10.4" customHeight="1" x14ac:dyDescent="0.25">
      <c r="C289" s="31"/>
    </row>
    <row r="290" spans="3:3" ht="10.4" customHeight="1" x14ac:dyDescent="0.25">
      <c r="C290" s="31"/>
    </row>
    <row r="291" spans="3:3" ht="10.4" customHeight="1" x14ac:dyDescent="0.25">
      <c r="C291" s="31"/>
    </row>
    <row r="292" spans="3:3" ht="10.4" customHeight="1" x14ac:dyDescent="0.25">
      <c r="C292" s="31"/>
    </row>
    <row r="293" spans="3:3" ht="10.4" customHeight="1" x14ac:dyDescent="0.25">
      <c r="C293" s="31"/>
    </row>
    <row r="294" spans="3:3" ht="10.4" customHeight="1" x14ac:dyDescent="0.25">
      <c r="C294" s="31"/>
    </row>
    <row r="295" spans="3:3" ht="10.4" customHeight="1" x14ac:dyDescent="0.25">
      <c r="C295" s="31"/>
    </row>
    <row r="296" spans="3:3" ht="10.4" customHeight="1" x14ac:dyDescent="0.25">
      <c r="C296" s="31"/>
    </row>
    <row r="297" spans="3:3" ht="10.4" customHeight="1" x14ac:dyDescent="0.25">
      <c r="C297" s="31"/>
    </row>
    <row r="298" spans="3:3" ht="10.4" customHeight="1" x14ac:dyDescent="0.25">
      <c r="C298" s="31"/>
    </row>
    <row r="299" spans="3:3" ht="10.4" customHeight="1" x14ac:dyDescent="0.25">
      <c r="C299" s="31"/>
    </row>
    <row r="300" spans="3:3" ht="10.4" customHeight="1" x14ac:dyDescent="0.25">
      <c r="C300" s="31"/>
    </row>
    <row r="301" spans="3:3" ht="10.4" customHeight="1" x14ac:dyDescent="0.25">
      <c r="C301" s="31"/>
    </row>
    <row r="302" spans="3:3" ht="10.4" customHeight="1" x14ac:dyDescent="0.25">
      <c r="C302" s="31"/>
    </row>
    <row r="303" spans="3:3" ht="10.4" customHeight="1" x14ac:dyDescent="0.25">
      <c r="C303" s="31"/>
    </row>
    <row r="304" spans="3:3" ht="10.4" customHeight="1" x14ac:dyDescent="0.25">
      <c r="C304" s="31"/>
    </row>
    <row r="305" spans="3:3" ht="10.4" customHeight="1" x14ac:dyDescent="0.25">
      <c r="C305" s="31"/>
    </row>
    <row r="306" spans="3:3" ht="10.4" customHeight="1" x14ac:dyDescent="0.25">
      <c r="C306" s="31"/>
    </row>
    <row r="307" spans="3:3" ht="10.4" customHeight="1" x14ac:dyDescent="0.25">
      <c r="C307" s="31"/>
    </row>
    <row r="308" spans="3:3" ht="10.4" customHeight="1" x14ac:dyDescent="0.25">
      <c r="C308" s="31"/>
    </row>
    <row r="309" spans="3:3" ht="10.4" customHeight="1" x14ac:dyDescent="0.25">
      <c r="C309" s="31"/>
    </row>
    <row r="310" spans="3:3" ht="10.4" customHeight="1" x14ac:dyDescent="0.25">
      <c r="C310" s="31"/>
    </row>
    <row r="311" spans="3:3" ht="10.4" customHeight="1" x14ac:dyDescent="0.25">
      <c r="C311" s="31"/>
    </row>
    <row r="312" spans="3:3" ht="10.4" customHeight="1" x14ac:dyDescent="0.25">
      <c r="C312" s="31"/>
    </row>
    <row r="313" spans="3:3" ht="10.4" customHeight="1" x14ac:dyDescent="0.25">
      <c r="C313" s="31"/>
    </row>
    <row r="314" spans="3:3" ht="10.4" customHeight="1" x14ac:dyDescent="0.25">
      <c r="C314" s="31"/>
    </row>
    <row r="315" spans="3:3" ht="10.4" customHeight="1" x14ac:dyDescent="0.25">
      <c r="C315" s="31"/>
    </row>
    <row r="316" spans="3:3" ht="10.4" customHeight="1" x14ac:dyDescent="0.25">
      <c r="C316" s="31"/>
    </row>
    <row r="317" spans="3:3" ht="10.4" customHeight="1" x14ac:dyDescent="0.25">
      <c r="C317" s="31"/>
    </row>
    <row r="318" spans="3:3" ht="10.4" customHeight="1" x14ac:dyDescent="0.25">
      <c r="C318" s="31"/>
    </row>
    <row r="319" spans="3:3" ht="10.4" customHeight="1" x14ac:dyDescent="0.25">
      <c r="C319" s="31"/>
    </row>
    <row r="320" spans="3:3" ht="10.4" customHeight="1" x14ac:dyDescent="0.25">
      <c r="C320" s="31"/>
    </row>
    <row r="321" spans="3:3" ht="10.4" customHeight="1" x14ac:dyDescent="0.25">
      <c r="C321" s="31"/>
    </row>
    <row r="322" spans="3:3" ht="10.4" customHeight="1" x14ac:dyDescent="0.25">
      <c r="C322" s="31"/>
    </row>
    <row r="323" spans="3:3" ht="10.4" customHeight="1" x14ac:dyDescent="0.25">
      <c r="C323" s="31"/>
    </row>
    <row r="324" spans="3:3" ht="10.4" customHeight="1" x14ac:dyDescent="0.25">
      <c r="C324" s="31"/>
    </row>
    <row r="325" spans="3:3" ht="10.4" customHeight="1" x14ac:dyDescent="0.25">
      <c r="C325" s="31"/>
    </row>
    <row r="326" spans="3:3" ht="10.4" customHeight="1" x14ac:dyDescent="0.25">
      <c r="C326" s="31"/>
    </row>
    <row r="327" spans="3:3" ht="10.4" customHeight="1" x14ac:dyDescent="0.25">
      <c r="C327" s="31"/>
    </row>
    <row r="328" spans="3:3" ht="10.4" customHeight="1" x14ac:dyDescent="0.25">
      <c r="C328" s="31"/>
    </row>
    <row r="329" spans="3:3" ht="10.4" customHeight="1" x14ac:dyDescent="0.25">
      <c r="C329" s="31"/>
    </row>
    <row r="330" spans="3:3" ht="10.4" customHeight="1" x14ac:dyDescent="0.25">
      <c r="C330" s="31"/>
    </row>
    <row r="331" spans="3:3" ht="10.4" customHeight="1" x14ac:dyDescent="0.25">
      <c r="C331" s="31"/>
    </row>
    <row r="332" spans="3:3" ht="10.4" customHeight="1" x14ac:dyDescent="0.25">
      <c r="C332" s="31"/>
    </row>
    <row r="333" spans="3:3" ht="10.4" customHeight="1" x14ac:dyDescent="0.25">
      <c r="C333" s="31"/>
    </row>
    <row r="334" spans="3:3" ht="10.4" customHeight="1" x14ac:dyDescent="0.25">
      <c r="C334" s="31"/>
    </row>
    <row r="335" spans="3:3" ht="10.4" customHeight="1" x14ac:dyDescent="0.25">
      <c r="C335" s="31"/>
    </row>
    <row r="336" spans="3:3" ht="10.4" customHeight="1" x14ac:dyDescent="0.25">
      <c r="C336" s="31"/>
    </row>
    <row r="337" spans="3:3" ht="10.4" customHeight="1" x14ac:dyDescent="0.25">
      <c r="C337" s="31"/>
    </row>
    <row r="338" spans="3:3" ht="10.4" customHeight="1" x14ac:dyDescent="0.25">
      <c r="C338" s="31"/>
    </row>
    <row r="339" spans="3:3" ht="10.4" customHeight="1" x14ac:dyDescent="0.25">
      <c r="C339" s="31"/>
    </row>
    <row r="340" spans="3:3" ht="10.4" customHeight="1" x14ac:dyDescent="0.25">
      <c r="C340" s="31"/>
    </row>
    <row r="341" spans="3:3" ht="10.4" customHeight="1" x14ac:dyDescent="0.25">
      <c r="C341" s="31"/>
    </row>
    <row r="342" spans="3:3" ht="10.4" customHeight="1" x14ac:dyDescent="0.25">
      <c r="C342" s="31"/>
    </row>
    <row r="343" spans="3:3" ht="10.4" customHeight="1" x14ac:dyDescent="0.25">
      <c r="C343" s="31"/>
    </row>
    <row r="344" spans="3:3" ht="10.4" customHeight="1" x14ac:dyDescent="0.25">
      <c r="C344" s="31"/>
    </row>
    <row r="345" spans="3:3" ht="10.4" customHeight="1" x14ac:dyDescent="0.25">
      <c r="C345" s="31"/>
    </row>
    <row r="346" spans="3:3" ht="10.4" customHeight="1" x14ac:dyDescent="0.25">
      <c r="C346" s="31"/>
    </row>
    <row r="347" spans="3:3" ht="10.4" customHeight="1" x14ac:dyDescent="0.25">
      <c r="C347" s="31"/>
    </row>
    <row r="348" spans="3:3" ht="10.4" customHeight="1" x14ac:dyDescent="0.25">
      <c r="C348" s="31"/>
    </row>
    <row r="349" spans="3:3" ht="10.4" customHeight="1" x14ac:dyDescent="0.25">
      <c r="C349" s="31"/>
    </row>
    <row r="350" spans="3:3" ht="10.4" customHeight="1" x14ac:dyDescent="0.25">
      <c r="C350" s="31"/>
    </row>
    <row r="351" spans="3:3" ht="10.4" customHeight="1" x14ac:dyDescent="0.25">
      <c r="C351" s="31"/>
    </row>
    <row r="352" spans="3:3" ht="10.4" customHeight="1" x14ac:dyDescent="0.25">
      <c r="C352" s="31"/>
    </row>
    <row r="353" spans="3:3" ht="10.4" customHeight="1" x14ac:dyDescent="0.25">
      <c r="C353" s="31"/>
    </row>
    <row r="354" spans="3:3" ht="10.4" customHeight="1" x14ac:dyDescent="0.25">
      <c r="C354" s="31"/>
    </row>
    <row r="355" spans="3:3" ht="10.4" customHeight="1" x14ac:dyDescent="0.25">
      <c r="C355" s="31"/>
    </row>
    <row r="356" spans="3:3" ht="10.4" customHeight="1" x14ac:dyDescent="0.25">
      <c r="C356" s="31"/>
    </row>
    <row r="357" spans="3:3" ht="10.4" customHeight="1" x14ac:dyDescent="0.25">
      <c r="C357" s="31"/>
    </row>
    <row r="358" spans="3:3" ht="10.4" customHeight="1" x14ac:dyDescent="0.25">
      <c r="C358" s="31"/>
    </row>
    <row r="359" spans="3:3" ht="10.4" customHeight="1" x14ac:dyDescent="0.25">
      <c r="C359" s="31"/>
    </row>
    <row r="360" spans="3:3" ht="10.4" customHeight="1" x14ac:dyDescent="0.25">
      <c r="C360" s="31"/>
    </row>
    <row r="361" spans="3:3" ht="10.4" customHeight="1" x14ac:dyDescent="0.25">
      <c r="C361" s="31"/>
    </row>
    <row r="362" spans="3:3" ht="10.4" customHeight="1" x14ac:dyDescent="0.25">
      <c r="C362" s="31"/>
    </row>
    <row r="363" spans="3:3" ht="10.4" customHeight="1" x14ac:dyDescent="0.25">
      <c r="C363" s="31"/>
    </row>
    <row r="364" spans="3:3" ht="10.4" customHeight="1" x14ac:dyDescent="0.25">
      <c r="C364" s="31"/>
    </row>
    <row r="365" spans="3:3" ht="10.4" customHeight="1" x14ac:dyDescent="0.25">
      <c r="C365" s="31"/>
    </row>
    <row r="366" spans="3:3" ht="10.4" customHeight="1" x14ac:dyDescent="0.25">
      <c r="C366" s="31"/>
    </row>
    <row r="367" spans="3:3" ht="10.4" customHeight="1" x14ac:dyDescent="0.25">
      <c r="C367" s="31"/>
    </row>
    <row r="368" spans="3:3" ht="10.4" customHeight="1" x14ac:dyDescent="0.25">
      <c r="C368" s="31"/>
    </row>
    <row r="369" spans="3:3" ht="10.4" customHeight="1" x14ac:dyDescent="0.25">
      <c r="C369" s="31"/>
    </row>
    <row r="370" spans="3:3" ht="10.4" customHeight="1" x14ac:dyDescent="0.25">
      <c r="C370" s="31"/>
    </row>
    <row r="371" spans="3:3" ht="10.4" customHeight="1" x14ac:dyDescent="0.25">
      <c r="C371" s="31"/>
    </row>
    <row r="372" spans="3:3" ht="10.4" customHeight="1" x14ac:dyDescent="0.25">
      <c r="C372" s="31"/>
    </row>
    <row r="373" spans="3:3" ht="10.4" customHeight="1" x14ac:dyDescent="0.25">
      <c r="C373" s="31"/>
    </row>
    <row r="374" spans="3:3" ht="10.4" customHeight="1" x14ac:dyDescent="0.25">
      <c r="C374" s="31"/>
    </row>
    <row r="375" spans="3:3" ht="10.4" customHeight="1" x14ac:dyDescent="0.25">
      <c r="C375" s="31"/>
    </row>
    <row r="376" spans="3:3" ht="10.4" customHeight="1" x14ac:dyDescent="0.25">
      <c r="C376" s="31"/>
    </row>
    <row r="377" spans="3:3" ht="10.4" customHeight="1" x14ac:dyDescent="0.25">
      <c r="C377" s="31"/>
    </row>
    <row r="378" spans="3:3" ht="10.4" customHeight="1" x14ac:dyDescent="0.25">
      <c r="C378" s="31"/>
    </row>
    <row r="379" spans="3:3" ht="10.4" customHeight="1" x14ac:dyDescent="0.25">
      <c r="C379" s="31"/>
    </row>
    <row r="380" spans="3:3" ht="10.4" customHeight="1" x14ac:dyDescent="0.25">
      <c r="C380" s="31"/>
    </row>
    <row r="381" spans="3:3" ht="10.4" customHeight="1" x14ac:dyDescent="0.25">
      <c r="C381" s="31"/>
    </row>
    <row r="382" spans="3:3" ht="10.4" customHeight="1" x14ac:dyDescent="0.25">
      <c r="C382" s="31"/>
    </row>
    <row r="383" spans="3:3" ht="10.4" customHeight="1" x14ac:dyDescent="0.25">
      <c r="C383" s="31"/>
    </row>
    <row r="384" spans="3:3" ht="10.4" customHeight="1" x14ac:dyDescent="0.25">
      <c r="C384" s="31"/>
    </row>
    <row r="385" spans="3:3" ht="10.4" customHeight="1" x14ac:dyDescent="0.25">
      <c r="C385" s="31"/>
    </row>
    <row r="386" spans="3:3" ht="10.4" customHeight="1" x14ac:dyDescent="0.25">
      <c r="C386" s="31"/>
    </row>
    <row r="387" spans="3:3" ht="10.4" customHeight="1" x14ac:dyDescent="0.25">
      <c r="C387" s="31"/>
    </row>
    <row r="388" spans="3:3" ht="10.4" customHeight="1" x14ac:dyDescent="0.25">
      <c r="C388" s="31"/>
    </row>
    <row r="389" spans="3:3" ht="10.4" customHeight="1" x14ac:dyDescent="0.25">
      <c r="C389" s="31"/>
    </row>
    <row r="390" spans="3:3" ht="10.4" customHeight="1" x14ac:dyDescent="0.25">
      <c r="C390" s="31"/>
    </row>
    <row r="391" spans="3:3" ht="10.4" customHeight="1" x14ac:dyDescent="0.25">
      <c r="C391" s="31"/>
    </row>
    <row r="392" spans="3:3" ht="10.4" customHeight="1" x14ac:dyDescent="0.25">
      <c r="C392" s="31"/>
    </row>
    <row r="393" spans="3:3" ht="10.4" customHeight="1" x14ac:dyDescent="0.25">
      <c r="C393" s="31"/>
    </row>
    <row r="394" spans="3:3" ht="10.4" customHeight="1" x14ac:dyDescent="0.25">
      <c r="C394" s="31"/>
    </row>
    <row r="395" spans="3:3" ht="10.4" customHeight="1" x14ac:dyDescent="0.25">
      <c r="C395" s="31"/>
    </row>
    <row r="396" spans="3:3" ht="10.4" customHeight="1" x14ac:dyDescent="0.25">
      <c r="C396" s="31"/>
    </row>
    <row r="397" spans="3:3" ht="10.4" customHeight="1" x14ac:dyDescent="0.25">
      <c r="C397" s="31"/>
    </row>
    <row r="398" spans="3:3" ht="10.4" customHeight="1" x14ac:dyDescent="0.25">
      <c r="C398" s="31"/>
    </row>
    <row r="399" spans="3:3" ht="10.4" customHeight="1" x14ac:dyDescent="0.25">
      <c r="C399" s="31"/>
    </row>
    <row r="400" spans="3:3" ht="10.4" customHeight="1" x14ac:dyDescent="0.25">
      <c r="C400" s="31"/>
    </row>
    <row r="401" spans="3:3" ht="10.4" customHeight="1" x14ac:dyDescent="0.25">
      <c r="C401" s="31"/>
    </row>
    <row r="402" spans="3:3" ht="10.4" customHeight="1" x14ac:dyDescent="0.25">
      <c r="C402" s="31"/>
    </row>
    <row r="403" spans="3:3" ht="10.4" customHeight="1" x14ac:dyDescent="0.25">
      <c r="C403" s="31"/>
    </row>
    <row r="404" spans="3:3" ht="10.4" customHeight="1" x14ac:dyDescent="0.25">
      <c r="C404" s="31"/>
    </row>
    <row r="405" spans="3:3" ht="10.4" customHeight="1" x14ac:dyDescent="0.25">
      <c r="C405" s="31"/>
    </row>
    <row r="406" spans="3:3" ht="10.4" customHeight="1" x14ac:dyDescent="0.25">
      <c r="C406" s="31"/>
    </row>
    <row r="407" spans="3:3" ht="10.4" customHeight="1" x14ac:dyDescent="0.25">
      <c r="C407" s="31"/>
    </row>
    <row r="408" spans="3:3" ht="10.4" customHeight="1" x14ac:dyDescent="0.25">
      <c r="C408" s="31"/>
    </row>
    <row r="409" spans="3:3" ht="10.4" customHeight="1" x14ac:dyDescent="0.25">
      <c r="C409" s="31"/>
    </row>
    <row r="410" spans="3:3" ht="10.4" customHeight="1" x14ac:dyDescent="0.25">
      <c r="C410" s="31"/>
    </row>
    <row r="411" spans="3:3" ht="10.4" customHeight="1" x14ac:dyDescent="0.25">
      <c r="C411" s="31"/>
    </row>
    <row r="412" spans="3:3" ht="10.4" customHeight="1" x14ac:dyDescent="0.25">
      <c r="C412" s="31"/>
    </row>
    <row r="413" spans="3:3" ht="10.4" customHeight="1" x14ac:dyDescent="0.25">
      <c r="C413" s="31"/>
    </row>
    <row r="414" spans="3:3" ht="10.4" customHeight="1" x14ac:dyDescent="0.25">
      <c r="C414" s="31"/>
    </row>
    <row r="415" spans="3:3" ht="10.4" customHeight="1" x14ac:dyDescent="0.25">
      <c r="C415" s="31"/>
    </row>
    <row r="416" spans="3:3" ht="10.4" customHeight="1" x14ac:dyDescent="0.25">
      <c r="C416" s="31"/>
    </row>
    <row r="417" spans="3:3" ht="10.4" customHeight="1" x14ac:dyDescent="0.25">
      <c r="C417" s="31"/>
    </row>
    <row r="418" spans="3:3" ht="10.4" customHeight="1" x14ac:dyDescent="0.25">
      <c r="C418" s="31"/>
    </row>
    <row r="419" spans="3:3" ht="10.4" customHeight="1" x14ac:dyDescent="0.25">
      <c r="C419" s="31"/>
    </row>
    <row r="420" spans="3:3" ht="10.4" customHeight="1" x14ac:dyDescent="0.25">
      <c r="C420" s="31"/>
    </row>
    <row r="421" spans="3:3" ht="10.4" customHeight="1" x14ac:dyDescent="0.25">
      <c r="C421" s="31"/>
    </row>
    <row r="422" spans="3:3" ht="10.4" customHeight="1" x14ac:dyDescent="0.25">
      <c r="C422" s="31"/>
    </row>
    <row r="423" spans="3:3" ht="10.4" customHeight="1" x14ac:dyDescent="0.25">
      <c r="C423" s="31"/>
    </row>
    <row r="424" spans="3:3" ht="10.4" customHeight="1" x14ac:dyDescent="0.25">
      <c r="C424" s="31"/>
    </row>
    <row r="425" spans="3:3" ht="10.4" customHeight="1" x14ac:dyDescent="0.25">
      <c r="C425" s="31"/>
    </row>
    <row r="426" spans="3:3" ht="10.4" customHeight="1" x14ac:dyDescent="0.25">
      <c r="C426" s="31"/>
    </row>
    <row r="427" spans="3:3" ht="10.4" customHeight="1" x14ac:dyDescent="0.25">
      <c r="C427" s="31"/>
    </row>
    <row r="428" spans="3:3" ht="10.4" customHeight="1" x14ac:dyDescent="0.25">
      <c r="C428" s="31"/>
    </row>
    <row r="429" spans="3:3" ht="10.4" customHeight="1" x14ac:dyDescent="0.25">
      <c r="C429" s="31"/>
    </row>
    <row r="430" spans="3:3" ht="10.4" customHeight="1" x14ac:dyDescent="0.25">
      <c r="C430" s="31"/>
    </row>
    <row r="431" spans="3:3" ht="10.4" customHeight="1" x14ac:dyDescent="0.25">
      <c r="C431" s="31"/>
    </row>
    <row r="432" spans="3:3" ht="10.4" customHeight="1" x14ac:dyDescent="0.25">
      <c r="C432" s="31"/>
    </row>
    <row r="433" spans="3:3" ht="10.4" customHeight="1" x14ac:dyDescent="0.25">
      <c r="C433"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8"/>
  <sheetViews>
    <sheetView workbookViewId="0"/>
  </sheetViews>
  <sheetFormatPr defaultColWidth="14.453125" defaultRowHeight="12.5" x14ac:dyDescent="0.25"/>
  <cols>
    <col min="1" max="1" width="3.7265625" style="1" customWidth="1"/>
    <col min="2" max="2" width="66.54296875" style="1" customWidth="1"/>
    <col min="3" max="3" width="13" style="45" customWidth="1"/>
    <col min="4" max="9" width="15" customWidth="1"/>
    <col min="10" max="10" width="20" customWidth="1"/>
  </cols>
  <sheetData>
    <row r="1" spans="1:10" ht="15.5" customHeight="1" x14ac:dyDescent="0.25">
      <c r="A1"/>
      <c r="B1"/>
      <c r="C1" s="1"/>
    </row>
    <row r="2" spans="1:10" ht="19.5" customHeight="1" x14ac:dyDescent="0.25">
      <c r="A2"/>
      <c r="B2" s="20" t="s">
        <v>45</v>
      </c>
      <c r="C2" s="1"/>
    </row>
    <row r="3" spans="1:10" ht="15.5" customHeight="1" x14ac:dyDescent="0.25">
      <c r="A3"/>
      <c r="B3" s="255" t="s">
        <v>73</v>
      </c>
      <c r="C3" s="1"/>
    </row>
    <row r="4" spans="1:10" ht="15.5" customHeight="1" x14ac:dyDescent="0.25">
      <c r="A4"/>
      <c r="B4"/>
      <c r="C4" s="1"/>
      <c r="D4" s="56"/>
    </row>
    <row r="5" spans="1:10" ht="15.5" customHeight="1" x14ac:dyDescent="0.25">
      <c r="A5"/>
      <c r="B5" s="57"/>
      <c r="C5" s="58" t="s">
        <v>99</v>
      </c>
      <c r="D5" s="58" t="s">
        <v>251</v>
      </c>
      <c r="E5" s="58" t="s">
        <v>252</v>
      </c>
      <c r="F5" s="58" t="s">
        <v>253</v>
      </c>
    </row>
    <row r="6" spans="1:10" ht="15.5" customHeight="1" x14ac:dyDescent="0.25">
      <c r="A6"/>
      <c r="B6"/>
      <c r="C6" s="1"/>
      <c r="H6" s="229"/>
      <c r="I6" s="229"/>
      <c r="J6" s="229"/>
    </row>
    <row r="7" spans="1:10" ht="15.5" customHeight="1" x14ac:dyDescent="0.25">
      <c r="A7"/>
      <c r="B7" s="323" t="s">
        <v>254</v>
      </c>
      <c r="C7" s="324"/>
      <c r="D7" s="325"/>
      <c r="E7" s="325"/>
      <c r="F7" s="325"/>
    </row>
    <row r="8" spans="1:10" ht="15.5" customHeight="1" x14ac:dyDescent="0.25">
      <c r="A8"/>
      <c r="B8"/>
      <c r="C8" s="1"/>
      <c r="H8" s="229"/>
      <c r="I8" s="229"/>
      <c r="J8" s="229"/>
    </row>
    <row r="9" spans="1:10" ht="15.5" customHeight="1" x14ac:dyDescent="0.3">
      <c r="A9"/>
      <c r="B9" s="326" t="str">
        <f>Inputs!B17</f>
        <v>Revenue – Europe</v>
      </c>
      <c r="C9" s="327"/>
      <c r="D9" s="330">
        <f>SUM(D10:D13)</f>
        <v>5747.4925000000003</v>
      </c>
      <c r="E9" s="330">
        <f t="shared" ref="E9:F9" si="0">SUM(E10:E13)</f>
        <v>156502.33331577043</v>
      </c>
      <c r="F9" s="330">
        <f t="shared" si="0"/>
        <v>441201.29438872769</v>
      </c>
    </row>
    <row r="10" spans="1:10" ht="15.5" customHeight="1" x14ac:dyDescent="0.25">
      <c r="A10"/>
      <c r="B10" s="22" t="s">
        <v>255</v>
      </c>
      <c r="C10" s="63" t="s">
        <v>33</v>
      </c>
      <c r="D10" s="34">
        <f>SUM(Inputs!D26:O26)</f>
        <v>0</v>
      </c>
      <c r="E10" s="34">
        <f>IF(Inputs!P21=0,Inputs!P26*3,Inputs!P26*(1+Inputs!P21)*(1-(1+Inputs!P21)^-3)/Inputs!P21)+IF(Inputs!Q21=0,Inputs!Q26*3,Inputs!Q26*(1+Inputs!Q21)*(1-(1+Inputs!Q21)^-3)/Inputs!Q21)+IF(Inputs!R21=0,Inputs!R26*3,Inputs!R26*(1+Inputs!R21)*(1-(1+Inputs!R21)^-3)/Inputs!R21)+IF(Inputs!S21=0,Inputs!S26*3,Inputs!S26*(1+Inputs!S21)*(1-(1+Inputs!S21)^-3)/Inputs!S21)</f>
        <v>5373.1788817107226</v>
      </c>
      <c r="F10" s="34">
        <f>IF(Inputs!T21=0,Inputs!T26*12,Inputs!T26*(1+Inputs!T21)*(1-(1+Inputs!T21)^-12)/Inputs!T21)</f>
        <v>22332.313615674637</v>
      </c>
      <c r="H10" s="229"/>
      <c r="I10" s="229"/>
      <c r="J10" s="229"/>
    </row>
    <row r="11" spans="1:10" ht="15.5" customHeight="1" x14ac:dyDescent="0.25">
      <c r="A11"/>
      <c r="B11" s="22" t="s">
        <v>256</v>
      </c>
      <c r="C11" s="31" t="s">
        <v>33</v>
      </c>
      <c r="D11" s="34">
        <f>SUM(Inputs!D36:O36)+937.5</f>
        <v>2441.2425000000003</v>
      </c>
      <c r="E11" s="34">
        <f>IF(Inputs!P29=0,Inputs!P36*3,Inputs!P36*(1+Inputs!P29)*(1-(1+Inputs!P29)^-3)/Inputs!P29)+IF(Inputs!Q29=0,Inputs!Q36*3,Inputs!Q36*(1+Inputs!Q29)*(1-(1+Inputs!Q29)^-3)/Inputs!Q29)+IF(Inputs!R29=0,Inputs!R36*3,Inputs!R36*(1+Inputs!R29)*(1-(1+Inputs!R29)^-3)/Inputs!R29)+IF(Inputs!S29=0,Inputs!S36*3,Inputs!S36*(1+Inputs!S29)*(1-(1+Inputs!S29)^-3)/Inputs!S29)</f>
        <v>23758.329123605428</v>
      </c>
      <c r="F11" s="34">
        <f>IF(Inputs!T29=0,Inputs!T36*12,Inputs!T36*(1+Inputs!T29)*(1-(1+Inputs!T29)^-12)/Inputs!T29)</f>
        <v>66814.326544146577</v>
      </c>
      <c r="H11" s="64"/>
    </row>
    <row r="12" spans="1:10" ht="15.5" customHeight="1" x14ac:dyDescent="0.25">
      <c r="A12"/>
      <c r="B12" s="22" t="s">
        <v>257</v>
      </c>
      <c r="C12" s="31" t="s">
        <v>33</v>
      </c>
      <c r="D12" s="34">
        <f>SUM(Inputs!D47:O47)</f>
        <v>1293.75</v>
      </c>
      <c r="E12" s="34">
        <f>((IF(Inputs!P21=0,Inputs!P22*3,Inputs!P22*(1+Inputs!P21)*(1-(1+Inputs!P21)^-3)/Inputs!P21)*Inputs!P24)+(IF(Inputs!P29=0,Inputs!P30*3,Inputs!P30*(1+Inputs!P29)*(1-(1+Inputs!P29)^-3)/Inputs!P29)*Inputs!P31*Inputs!P32))*Inputs!P40*Inputs!P42*Inputs!P44*Inputs!P45*Inputs!P46+((IF(Inputs!Q21=0,Inputs!Q22*3,Inputs!Q22*(1+Inputs!Q21)*(1-(1+Inputs!Q21)^-3)/Inputs!Q21)*Inputs!Q24)+(IF(Inputs!Q29=0,Inputs!Q30*3,Inputs!Q30*(1+Inputs!Q29)*(1-(1+Inputs!Q29)^-3)/Inputs!Q29)*Inputs!Q31*Inputs!Q32))*Inputs!Q40*Inputs!Q42*Inputs!Q44*Inputs!Q45*Inputs!Q46+((IF(Inputs!R21=0,Inputs!R22*3,Inputs!R22*(1+Inputs!R21)*(1-(1+Inputs!R21)^-3)/Inputs!R21)*Inputs!R24)+(IF(Inputs!R29=0,Inputs!R30*3,Inputs!R30*(1+Inputs!R29)*(1-(1+Inputs!R29)^-3)/Inputs!R29)*Inputs!R31*Inputs!R32))*Inputs!R40*Inputs!R42*Inputs!R44*Inputs!R45*Inputs!R46+((IF(Inputs!S21=0,Inputs!S22*3,Inputs!S22*(1+Inputs!S21)*(1-(1+Inputs!S21)^-3)/Inputs!S21)*Inputs!S24)+(IF(Inputs!S29=0,Inputs!S30*3,Inputs!S30*(1+Inputs!S29)*(1-(1+Inputs!S29)^-3)/Inputs!S29)*Inputs!S31*Inputs!S32))*Inputs!S40*Inputs!S42*Inputs!S44*Inputs!S45*Inputs!S46</f>
        <v>122777.0753104543</v>
      </c>
      <c r="F12" s="34">
        <f>((IF(Inputs!T21=0,Inputs!T22*12,Inputs!T22*(1+Inputs!T21)*(1-(1+Inputs!T21)^-12)/Inputs!T21)*Inputs!T24)+(IF(Inputs!T29=0,Inputs!T30*12,Inputs!T30*(1+Inputs!T29)*(1-(1+Inputs!T29)^-12)/Inputs!T29)*Inputs!T31*Inputs!T32))*Inputs!T40*Inputs!T42*Inputs!T44*Inputs!T45*Inputs!T46</f>
        <v>346585.9042289065</v>
      </c>
      <c r="H12" s="229"/>
      <c r="I12" s="229"/>
      <c r="J12" s="229"/>
    </row>
    <row r="13" spans="1:10" ht="15.5" customHeight="1" x14ac:dyDescent="0.25">
      <c r="A13"/>
      <c r="B13" s="1" t="s">
        <v>258</v>
      </c>
      <c r="C13" s="45" t="s">
        <v>33</v>
      </c>
      <c r="D13" s="64">
        <f>Inputs!O41*Inputs!$D$14*Inputs!$D$15</f>
        <v>2012.4999999999998</v>
      </c>
      <c r="E13" s="64">
        <f>(Inputs!S41-Inputs!O41+Inputs!O22*Inputs!O24)*Inputs!$D$14*Inputs!$D$15</f>
        <v>4593.75</v>
      </c>
      <c r="F13" s="64">
        <f>(Inputs!T41-Inputs!S41+Inputs!S22*Inputs!S24)*Inputs!$D$14*Inputs!$D$15</f>
        <v>5468.75</v>
      </c>
    </row>
    <row r="14" spans="1:10" s="122" customFormat="1" ht="15.5" customHeight="1" x14ac:dyDescent="0.25">
      <c r="A14" s="127"/>
      <c r="B14" s="127"/>
      <c r="C14" s="154"/>
      <c r="D14" s="155"/>
      <c r="E14" s="155"/>
      <c r="F14" s="155"/>
      <c r="H14" s="230"/>
      <c r="I14" s="230"/>
      <c r="J14" s="230"/>
    </row>
    <row r="15" spans="1:10" ht="15.5" customHeight="1" x14ac:dyDescent="0.3">
      <c r="A15"/>
      <c r="B15" s="326" t="str">
        <f>Inputs!B49</f>
        <v>Revenue – United States</v>
      </c>
      <c r="C15" s="327"/>
      <c r="D15" s="330">
        <f>SUM(D16:D19)</f>
        <v>459412.5</v>
      </c>
      <c r="E15" s="330">
        <f t="shared" ref="E15:F15" si="1">SUM(E16:E19)</f>
        <v>42693579.156261511</v>
      </c>
      <c r="F15" s="330">
        <f t="shared" si="1"/>
        <v>102742794.35323736</v>
      </c>
    </row>
    <row r="16" spans="1:10" ht="15.5" customHeight="1" x14ac:dyDescent="0.25">
      <c r="A16"/>
      <c r="B16" s="22" t="s">
        <v>255</v>
      </c>
      <c r="C16" s="63" t="s">
        <v>33</v>
      </c>
      <c r="D16" s="34">
        <f>SUM(Inputs!D58:O58)</f>
        <v>0</v>
      </c>
      <c r="E16" s="34">
        <f>IF(Inputs!P53=0,Inputs!P58*3,Inputs!P58*(1+Inputs!P53)*(1-(1+Inputs!P53)^-3)/Inputs!P53)+IF(Inputs!Q53=0,Inputs!Q58*3,Inputs!Q58*(1+Inputs!Q53)*(1-(1+Inputs!Q53)^-3)/Inputs!Q53)+IF(Inputs!R53=0,Inputs!R58*3,Inputs!R58*(1+Inputs!R53)*(1-(1+Inputs!R53)^-3)/Inputs!R53)+IF(Inputs!S53=0,Inputs!S58*3,Inputs!S58*(1+Inputs!S53)*(1-(1+Inputs!S53)^-3)/Inputs!S53)</f>
        <v>21656.462585034024</v>
      </c>
      <c r="F16" s="34">
        <f>IF(Inputs!T53=0,Inputs!T58*12,Inputs!T58*(1+Inputs!T53)*(1-(1+Inputs!T53)^-12)/Inputs!T53)</f>
        <v>56212.957538895585</v>
      </c>
      <c r="H16" s="229"/>
      <c r="I16" s="229"/>
      <c r="J16" s="229"/>
    </row>
    <row r="17" spans="1:10" ht="15.5" customHeight="1" x14ac:dyDescent="0.25">
      <c r="A17"/>
      <c r="B17" s="22" t="s">
        <v>256</v>
      </c>
      <c r="C17" s="31" t="s">
        <v>33</v>
      </c>
      <c r="D17" s="34">
        <f>SUM(Inputs!D68:O68)</f>
        <v>266250</v>
      </c>
      <c r="E17" s="34">
        <f>IF(Inputs!P61=0,Inputs!P68*3,Inputs!P68*(1+Inputs!P61)*(1-(1+Inputs!P61)^-3)/Inputs!P61)+IF(Inputs!Q61=0,Inputs!Q68*3,Inputs!Q68*(1+Inputs!Q61)*(1-(1+Inputs!Q61)^-3)/Inputs!Q61)+IF(Inputs!R61=0,Inputs!R68*3,Inputs!R68*(1+Inputs!R61)*(1-(1+Inputs!R61)^-3)/Inputs!R61)+IF(Inputs!S61=0,Inputs!S68*3,Inputs!S68*(1+Inputs!S61)*(1-(1+Inputs!S61)^-3)/Inputs!S61)</f>
        <v>10259398.067438487</v>
      </c>
      <c r="F17" s="34">
        <f>IF(Inputs!T61=0,Inputs!T68*12,Inputs!T68*(1+Inputs!T61)*(1-(1+Inputs!T61)^-12)/Inputs!T61)</f>
        <v>28178868.215256814</v>
      </c>
    </row>
    <row r="18" spans="1:10" ht="15.5" customHeight="1" x14ac:dyDescent="0.25">
      <c r="A18"/>
      <c r="B18" s="22" t="s">
        <v>257</v>
      </c>
      <c r="C18" s="31" t="s">
        <v>33</v>
      </c>
      <c r="D18" s="34">
        <f>SUM(Inputs!D79:O79)</f>
        <v>176625</v>
      </c>
      <c r="E18" s="34">
        <f>((IF(Inputs!P53=0,Inputs!P54*3,Inputs!P54*(1+Inputs!P53)*(1-(1+Inputs!P53)^-3)/Inputs!P53)*Inputs!P56)+(IF(Inputs!P61=0,Inputs!P62*3,Inputs!P62*(1+Inputs!P61)*(1-(1+Inputs!P61)^-3)/Inputs!P61)*Inputs!P63*Inputs!P64))*Inputs!P72*Inputs!P74*Inputs!P76*Inputs!P77*Inputs!P78+((IF(Inputs!Q53=0,Inputs!Q54*3,Inputs!Q54*(1+Inputs!Q53)*(1-(1+Inputs!Q53)^-3)/Inputs!Q53)*Inputs!Q56)+(IF(Inputs!Q61=0,Inputs!Q62*3,Inputs!Q62*(1+Inputs!Q61)*(1-(1+Inputs!Q61)^-3)/Inputs!Q61)*Inputs!Q63*Inputs!Q64))*Inputs!Q72*Inputs!Q74*Inputs!Q76*Inputs!Q77*Inputs!Q78+((IF(Inputs!R53=0,Inputs!R54*3,Inputs!R54*(1+Inputs!R53)*(1-(1+Inputs!R53)^-3)/Inputs!R53)*Inputs!R56)+(IF(Inputs!R61=0,Inputs!R62*3,Inputs!R62*(1+Inputs!R61)*(1-(1+Inputs!R61)^-3)/Inputs!R61)*Inputs!R63*Inputs!R64))*Inputs!R72*Inputs!R74*Inputs!R76*Inputs!R77*Inputs!R78+((IF(Inputs!S53=0,Inputs!S54*3,Inputs!S54*(1+Inputs!S53)*(1-(1+Inputs!S53)^-3)/Inputs!S53)*Inputs!S56)+(IF(Inputs!S61=0,Inputs!S62*3,Inputs!S62*(1+Inputs!S61)*(1-(1+Inputs!S61)^-3)/Inputs!S61)*Inputs!S63*Inputs!S64))*Inputs!S72*Inputs!S74*Inputs!S76*Inputs!S77*Inputs!S78</f>
        <v>32195962.126237988</v>
      </c>
      <c r="F18" s="34">
        <f>((IF(Inputs!T53=0,Inputs!T54*12,Inputs!T54*(1+Inputs!T53)*(1-(1+Inputs!T53)^-12)/Inputs!T53)*Inputs!T56)+(IF(Inputs!T61=0,Inputs!T62*12,Inputs!T62*(1+Inputs!T61)*(1-(1+Inputs!T61)^-12)/Inputs!T61)*Inputs!T63*Inputs!T64))*Inputs!T72*Inputs!T74*Inputs!T76*Inputs!T77*Inputs!T78</f>
        <v>74268096.507261142</v>
      </c>
      <c r="H18" s="229"/>
      <c r="I18" s="229"/>
      <c r="J18" s="229"/>
    </row>
    <row r="19" spans="1:10" ht="15.5" customHeight="1" x14ac:dyDescent="0.25">
      <c r="A19"/>
      <c r="B19" s="22" t="s">
        <v>258</v>
      </c>
      <c r="C19" s="31" t="s">
        <v>33</v>
      </c>
      <c r="D19" s="64">
        <f>Inputs!O73*Inputs!$D$14*Inputs!$D$15</f>
        <v>16537.5</v>
      </c>
      <c r="E19" s="64">
        <f>(Inputs!S73-Inputs!O73+Inputs!O54*Inputs!O56)*Inputs!$D$14*Inputs!$D$15</f>
        <v>216562.5</v>
      </c>
      <c r="F19" s="64">
        <f>(Inputs!T73-Inputs!S73+Inputs!S54*Inputs!S56)*Inputs!$D$14*Inputs!$D$15</f>
        <v>239616.67318049999</v>
      </c>
    </row>
    <row r="20" spans="1:10" s="122" customFormat="1" ht="15.5" customHeight="1" x14ac:dyDescent="0.25">
      <c r="A20" s="127"/>
      <c r="B20" s="123"/>
      <c r="C20" s="125"/>
      <c r="D20" s="155"/>
      <c r="E20" s="155"/>
      <c r="F20" s="155"/>
      <c r="H20" s="230"/>
      <c r="I20" s="230"/>
      <c r="J20" s="230"/>
    </row>
    <row r="21" spans="1:10" ht="15.5" customHeight="1" x14ac:dyDescent="0.3">
      <c r="A21"/>
      <c r="B21" s="326" t="str">
        <f>Inputs!B81</f>
        <v>Revenue – Asia</v>
      </c>
      <c r="C21" s="328"/>
      <c r="D21" s="330">
        <f>SUM(D22:D25)</f>
        <v>0</v>
      </c>
      <c r="E21" s="330">
        <f t="shared" ref="E21:F21" si="2">SUM(E22:E25)</f>
        <v>0</v>
      </c>
      <c r="F21" s="330">
        <f t="shared" si="2"/>
        <v>1351198.6719372263</v>
      </c>
    </row>
    <row r="22" spans="1:10" ht="15.5" customHeight="1" x14ac:dyDescent="0.25">
      <c r="A22"/>
      <c r="B22" s="22" t="s">
        <v>255</v>
      </c>
      <c r="C22" s="63" t="s">
        <v>33</v>
      </c>
      <c r="D22" s="34">
        <f>SUM(Inputs!D90:O90)</f>
        <v>0</v>
      </c>
      <c r="E22" s="34">
        <f>IF(Inputs!P85=0,Inputs!P90*3,Inputs!P90*(1+Inputs!P85)*(1-(1+Inputs!P85)^-3)/Inputs!P85)+IF(Inputs!Q85=0,Inputs!Q90*3,Inputs!Q90*(1+Inputs!Q85)*(1-(1+Inputs!Q85)^-3)/Inputs!Q85)+IF(Inputs!R85=0,Inputs!R90*3,Inputs!R90*(1+Inputs!R85)*(1-(1+Inputs!R85)^-3)/Inputs!R85)+IF(Inputs!S85=0,Inputs!S90*3,Inputs!S90*(1+Inputs!S85)*(1-(1+Inputs!S85)^-3)/Inputs!S85)</f>
        <v>0</v>
      </c>
      <c r="F22" s="34">
        <f>IF(Inputs!T85=0,Inputs!T90*12,Inputs!T90*(1+Inputs!T85)*(1-(1+Inputs!T85)^-12)/Inputs!T85)</f>
        <v>112425.91507779117</v>
      </c>
      <c r="H22" s="229"/>
      <c r="I22" s="229"/>
      <c r="J22" s="229"/>
    </row>
    <row r="23" spans="1:10" ht="15.5" customHeight="1" x14ac:dyDescent="0.25">
      <c r="A23"/>
      <c r="B23" s="22" t="s">
        <v>256</v>
      </c>
      <c r="C23" s="31" t="s">
        <v>33</v>
      </c>
      <c r="D23" s="34">
        <f>SUM(Inputs!D100:O100)</f>
        <v>0</v>
      </c>
      <c r="E23" s="34">
        <f>IF(Inputs!P93=0,Inputs!P100*3,Inputs!P100*(1+Inputs!P93)*(1-(1+Inputs!P93)^-3)/Inputs!P93)+IF(Inputs!Q93=0,Inputs!Q100*3,Inputs!Q100*(1+Inputs!Q93)*(1-(1+Inputs!Q93)^-3)/Inputs!Q93)+IF(Inputs!R93=0,Inputs!R100*3,Inputs!R100*(1+Inputs!R93)*(1-(1+Inputs!R93)^-3)/Inputs!R93)+IF(Inputs!S93=0,Inputs!S100*3,Inputs!S100*(1+Inputs!S93)*(1-(1+Inputs!S93)^-3)/Inputs!S93)</f>
        <v>0</v>
      </c>
      <c r="F23" s="34">
        <f>IF(Inputs!T93=0,Inputs!T100*12,Inputs!T100*(1+Inputs!T93)*(1-(1+Inputs!T93)^-12)/Inputs!T93)</f>
        <v>89978.02734375</v>
      </c>
      <c r="H23" s="64"/>
    </row>
    <row r="24" spans="1:10" ht="15.5" customHeight="1" x14ac:dyDescent="0.25">
      <c r="A24"/>
      <c r="B24" s="22" t="s">
        <v>257</v>
      </c>
      <c r="C24" s="31" t="s">
        <v>33</v>
      </c>
      <c r="D24" s="34">
        <f>SUM(Inputs!D111:O111)</f>
        <v>0</v>
      </c>
      <c r="E24" s="65">
        <f>((IF(Inputs!P85=0,Inputs!P86*3,Inputs!P86*(1+Inputs!P85)*(1-(1+Inputs!P85)^-3)/Inputs!P85)*Inputs!P88)+(IF(Inputs!P93=0,Inputs!P94*3,Inputs!P94*(1+Inputs!P93)*(1-(1+Inputs!P93)^-3)/Inputs!P93)*Inputs!P95*Inputs!P96))*Inputs!P104*Inputs!P106*Inputs!P108*Inputs!P109*Inputs!P110+((IF(Inputs!Q85=0,Inputs!Q86*3,Inputs!Q86*(1+Inputs!Q85)*(1-(1+Inputs!Q85)^-3)/Inputs!Q85)*Inputs!Q88)+(IF(Inputs!Q93=0,Inputs!Q94*3,Inputs!Q94*(1+Inputs!Q93)*(1-(1+Inputs!Q93)^-3)/Inputs!Q93)*Inputs!Q95*Inputs!Q96))*Inputs!Q104*Inputs!Q106*Inputs!Q108*Inputs!Q109*Inputs!Q110+((IF(Inputs!R85=0,Inputs!R86*3,Inputs!R86*(1+Inputs!R85)*(1-(1+Inputs!R85)^-3)/Inputs!R85)*Inputs!R88)+(IF(Inputs!R93=0,Inputs!R94*3,Inputs!R94*(1+Inputs!R93)*(1-(1+Inputs!R93)^-3)/Inputs!R93)*Inputs!R95*Inputs!R96))*Inputs!R104*Inputs!R106*Inputs!R108*Inputs!R109*Inputs!R110+((IF(Inputs!S85=0,Inputs!S86*3,Inputs!S86*(1+Inputs!S85)*(1-(1+Inputs!S85)^-3)/Inputs!S85)*Inputs!S88)+(IF(Inputs!S93=0,Inputs!S94*3,Inputs!S94*(1+Inputs!S93)*(1-(1+Inputs!S93)^-3)/Inputs!S93)*Inputs!S95*Inputs!S96))*Inputs!S104*Inputs!S106*Inputs!S108*Inputs!S109*Inputs!S110</f>
        <v>0</v>
      </c>
      <c r="F24" s="34">
        <f>((IF(Inputs!T85=0,Inputs!T86*12,Inputs!T86*(1+Inputs!T85)*(1-(1+Inputs!T85)^-12)/Inputs!T85)*Inputs!T88)+(IF(Inputs!T93=0,Inputs!T94*12,Inputs!T94*(1+Inputs!T93)*(1-(1+Inputs!T93)^-12)/Inputs!T93)*Inputs!T95*Inputs!T96))*Inputs!T104*Inputs!T106*Inputs!T108*Inputs!T109*Inputs!T110</f>
        <v>1114669.7295156852</v>
      </c>
      <c r="H24" s="229"/>
      <c r="I24" s="229"/>
      <c r="J24" s="229"/>
    </row>
    <row r="25" spans="1:10" ht="15.5" customHeight="1" x14ac:dyDescent="0.25">
      <c r="A25"/>
      <c r="B25" s="1" t="s">
        <v>258</v>
      </c>
      <c r="C25" s="45" t="s">
        <v>33</v>
      </c>
      <c r="D25" s="34">
        <f>Inputs!O105*Inputs!$D$14*Inputs!$D$15</f>
        <v>0</v>
      </c>
      <c r="E25" s="34">
        <f>(Inputs!S105-Inputs!O105+Inputs!O86*Inputs!O88)*Inputs!$D$14*Inputs!$D$15</f>
        <v>0</v>
      </c>
      <c r="F25" s="34">
        <f>(Inputs!T105-Inputs!S105+Inputs!S86*Inputs!S88)*Inputs!$D$14*Inputs!$D$15</f>
        <v>34125</v>
      </c>
    </row>
    <row r="26" spans="1:10" ht="15.5" customHeight="1" x14ac:dyDescent="0.25">
      <c r="A26"/>
      <c r="B26"/>
      <c r="C26" s="1"/>
    </row>
    <row r="27" spans="1:10" ht="15.5" customHeight="1" x14ac:dyDescent="0.25">
      <c r="A27"/>
      <c r="B27" s="323" t="str">
        <f>Inputs!B113</f>
        <v>OPEX – Europe</v>
      </c>
      <c r="C27" s="324"/>
      <c r="D27" s="325"/>
      <c r="E27" s="325"/>
      <c r="F27" s="325"/>
    </row>
    <row r="28" spans="1:10" ht="15.5" customHeight="1" x14ac:dyDescent="0.25">
      <c r="A28"/>
      <c r="B28"/>
      <c r="C28" s="1"/>
    </row>
    <row r="29" spans="1:10" ht="15.5" customHeight="1" x14ac:dyDescent="0.3">
      <c r="A29"/>
      <c r="B29" s="326" t="str">
        <f>Inputs!B115</f>
        <v>Transaction-based commissions passed through</v>
      </c>
      <c r="C29" s="327"/>
      <c r="D29" s="330">
        <f>SUM(D30:D31)</f>
        <v>862.5</v>
      </c>
      <c r="E29" s="330">
        <f t="shared" ref="E29:F29" si="3">SUM(E30:E31)</f>
        <v>77957.094805197994</v>
      </c>
      <c r="F29" s="330">
        <f t="shared" si="3"/>
        <v>20933.40709317103</v>
      </c>
    </row>
    <row r="30" spans="1:10" ht="15.5" customHeight="1" x14ac:dyDescent="0.25">
      <c r="A30"/>
      <c r="B30" s="22" t="str">
        <f>Inputs!B117</f>
        <v>Commission passed through to issuers / bercode usage</v>
      </c>
      <c r="C30" s="45" t="str">
        <f>Inputs!C117</f>
        <v>USD</v>
      </c>
      <c r="D30" s="34">
        <f>SUM(Inputs!D117:O117)</f>
        <v>431.25</v>
      </c>
      <c r="E30" s="34">
        <f>SUM(Inputs!P117:S117)</f>
        <v>38978.547402598997</v>
      </c>
      <c r="F30" s="34">
        <f>Inputs!T117</f>
        <v>10466.703546585515</v>
      </c>
    </row>
    <row r="31" spans="1:10" ht="15.5" customHeight="1" x14ac:dyDescent="0.25">
      <c r="A31"/>
      <c r="B31" s="22" t="str">
        <f>Inputs!B119</f>
        <v>Commission passed through to issuers / merchant traffic</v>
      </c>
      <c r="C31" s="45" t="str">
        <f>Inputs!C119</f>
        <v>USD</v>
      </c>
      <c r="D31" s="34">
        <f>SUM(Inputs!D119:O119)</f>
        <v>431.25</v>
      </c>
      <c r="E31" s="34">
        <f>SUM(Inputs!P119:S119)</f>
        <v>38978.547402598997</v>
      </c>
      <c r="F31" s="34">
        <f>Inputs!T119</f>
        <v>10466.703546585515</v>
      </c>
    </row>
    <row r="32" spans="1:10" ht="15.5" customHeight="1" x14ac:dyDescent="0.25">
      <c r="A32"/>
      <c r="B32"/>
      <c r="C32" s="1"/>
    </row>
    <row r="33" spans="1:6" ht="15.5" customHeight="1" x14ac:dyDescent="0.25">
      <c r="A33"/>
      <c r="B33" s="326" t="str">
        <f>Inputs!B122</f>
        <v>Work arrangements and local business presence</v>
      </c>
      <c r="C33" s="327"/>
      <c r="D33" s="331">
        <f>SUM(D34)</f>
        <v>16275</v>
      </c>
      <c r="E33" s="331">
        <f t="shared" ref="E33:F33" si="4">SUM(E34)</f>
        <v>9375</v>
      </c>
      <c r="F33" s="331">
        <f t="shared" si="4"/>
        <v>9375</v>
      </c>
    </row>
    <row r="34" spans="1:6" ht="15.5" customHeight="1" x14ac:dyDescent="0.25">
      <c r="A34"/>
      <c r="B34" s="22" t="s">
        <v>259</v>
      </c>
      <c r="C34" s="45" t="s">
        <v>33</v>
      </c>
      <c r="D34" s="64">
        <f>SUM(Inputs!D123:O125)</f>
        <v>16275</v>
      </c>
      <c r="E34" s="64">
        <f>SUM(Inputs!P123:S125)</f>
        <v>9375</v>
      </c>
      <c r="F34" s="64">
        <f>SUM(Inputs!T123:T125)</f>
        <v>9375</v>
      </c>
    </row>
    <row r="35" spans="1:6" ht="15.5" customHeight="1" x14ac:dyDescent="0.25">
      <c r="A35"/>
      <c r="B35" s="62"/>
      <c r="C35" s="1"/>
    </row>
    <row r="36" spans="1:6" ht="15.5" customHeight="1" x14ac:dyDescent="0.25">
      <c r="A36"/>
      <c r="B36" s="326" t="str">
        <f>Inputs!B127</f>
        <v>Marketing and market development</v>
      </c>
      <c r="C36" s="327"/>
      <c r="D36" s="329">
        <f>SUM(D37:D39)</f>
        <v>51363.630000000005</v>
      </c>
      <c r="E36" s="329">
        <f>SUM(E37:E39)</f>
        <v>69107.19</v>
      </c>
      <c r="F36" s="329">
        <f>SUM(F37:F39)</f>
        <v>58252.43</v>
      </c>
    </row>
    <row r="37" spans="1:6" ht="15.5" customHeight="1" x14ac:dyDescent="0.25">
      <c r="A37"/>
      <c r="B37" s="22" t="str">
        <f>Inputs!B128</f>
        <v>Partner acquisition and market-entry campaigns</v>
      </c>
      <c r="C37" s="31" t="s">
        <v>33</v>
      </c>
      <c r="D37" s="34">
        <f>SUM(Inputs!D128:O128)</f>
        <v>0</v>
      </c>
      <c r="E37" s="34">
        <f>SUM(Inputs!P128:S128)</f>
        <v>37355.24</v>
      </c>
      <c r="F37" s="34">
        <f>SUM(Inputs!T128)</f>
        <v>46601.94</v>
      </c>
    </row>
    <row r="38" spans="1:6" ht="15.5" customHeight="1" x14ac:dyDescent="0.25">
      <c r="A38"/>
      <c r="B38" s="22" t="str">
        <f>Inputs!B129</f>
        <v>Online advertising and digital campaigns</v>
      </c>
      <c r="C38" s="31" t="s">
        <v>33</v>
      </c>
      <c r="D38" s="34">
        <f>SUM(Inputs!D129:O129)</f>
        <v>51363.630000000005</v>
      </c>
      <c r="E38" s="34">
        <f>SUM(Inputs!P129:S129)</f>
        <v>31751.949999999997</v>
      </c>
      <c r="F38" s="34">
        <f>SUM(Inputs!T129)</f>
        <v>11650.49</v>
      </c>
    </row>
    <row r="39" spans="1:6" ht="15.5" customHeight="1" x14ac:dyDescent="0.25">
      <c r="A39"/>
      <c r="B39"/>
      <c r="C39" s="1"/>
    </row>
    <row r="40" spans="1:6" ht="15.5" customHeight="1" x14ac:dyDescent="0.3">
      <c r="A40"/>
      <c r="B40" s="326" t="str">
        <f>Inputs!B131</f>
        <v>Travel and in-person business presence</v>
      </c>
      <c r="C40" s="327"/>
      <c r="D40" s="330">
        <f>SUM(D41)</f>
        <v>17250</v>
      </c>
      <c r="E40" s="330">
        <f t="shared" ref="E40:F40" si="5">SUM(E41)</f>
        <v>90000</v>
      </c>
      <c r="F40" s="330">
        <f t="shared" si="5"/>
        <v>120000</v>
      </c>
    </row>
    <row r="41" spans="1:6" ht="15.5" customHeight="1" x14ac:dyDescent="0.25">
      <c r="A41"/>
      <c r="B41" s="22" t="str">
        <f>Inputs!B132</f>
        <v>Travel</v>
      </c>
      <c r="C41" s="31" t="s">
        <v>33</v>
      </c>
      <c r="D41" s="34">
        <f>SUM(Inputs!D132:O132)</f>
        <v>17250</v>
      </c>
      <c r="E41" s="34">
        <f>SUM(Inputs!P132:S132)</f>
        <v>90000</v>
      </c>
      <c r="F41" s="34">
        <f>SUM(Inputs!T132)</f>
        <v>120000</v>
      </c>
    </row>
    <row r="42" spans="1:6" ht="15.5" customHeight="1" x14ac:dyDescent="0.25">
      <c r="A42"/>
      <c r="B42"/>
      <c r="C42" s="1"/>
    </row>
    <row r="43" spans="1:6" ht="15.5" customHeight="1" x14ac:dyDescent="0.25">
      <c r="A43"/>
      <c r="B43" s="282" t="str">
        <f>Inputs!B135</f>
        <v>Central operations and personnel costs</v>
      </c>
      <c r="C43" s="327"/>
      <c r="D43" s="329">
        <f>SUM(D44:D47)</f>
        <v>451295</v>
      </c>
      <c r="E43" s="329">
        <f>SUM(E44:E47)</f>
        <v>604268</v>
      </c>
      <c r="F43" s="329">
        <f>SUM(F44:F47)</f>
        <v>894318</v>
      </c>
    </row>
    <row r="44" spans="1:6" ht="15.5" customHeight="1" x14ac:dyDescent="0.25">
      <c r="A44"/>
      <c r="B44" s="1" t="str">
        <f>Inputs!B136</f>
        <v>Integrated development program – operating component</v>
      </c>
      <c r="C44" s="45" t="s">
        <v>33</v>
      </c>
      <c r="D44" s="34">
        <v>80000</v>
      </c>
      <c r="E44" s="34">
        <v>0</v>
      </c>
      <c r="F44" s="34">
        <v>0</v>
      </c>
    </row>
    <row r="45" spans="1:6" ht="15.5" customHeight="1" x14ac:dyDescent="0.25">
      <c r="A45"/>
      <c r="B45" s="1" t="str">
        <f>Inputs!B137</f>
        <v>Central technology and platform operations</v>
      </c>
      <c r="C45" s="45" t="s">
        <v>33</v>
      </c>
      <c r="D45" s="34">
        <f>SUM(Inputs!D137:O137)</f>
        <v>109620</v>
      </c>
      <c r="E45" s="34">
        <f>SUM(Inputs!P137:S137)</f>
        <v>234750</v>
      </c>
      <c r="F45" s="34">
        <f>Inputs!T137</f>
        <v>339000</v>
      </c>
    </row>
    <row r="46" spans="1:6" ht="15.5" customHeight="1" x14ac:dyDescent="0.25">
      <c r="A46"/>
      <c r="B46" s="1" t="str">
        <f>Inputs!B138</f>
        <v>Central compliance, insurance and corporate administration</v>
      </c>
      <c r="C46" s="45" t="s">
        <v>33</v>
      </c>
      <c r="D46" s="34">
        <f>SUM(Inputs!D138:O138)</f>
        <v>69675</v>
      </c>
      <c r="E46" s="34">
        <f>SUM(Inputs!P138:S138)</f>
        <v>135675</v>
      </c>
      <c r="F46" s="34">
        <f>Inputs!T138</f>
        <v>285875</v>
      </c>
    </row>
    <row r="47" spans="1:6" ht="15.5" customHeight="1" x14ac:dyDescent="0.25">
      <c r="A47"/>
      <c r="B47" s="1" t="str">
        <f>Inputs!B139</f>
        <v>Personnel costs – Europe/global core team</v>
      </c>
      <c r="C47" s="45" t="s">
        <v>33</v>
      </c>
      <c r="D47" s="34">
        <f>SUM(Inputs!D139:O139)</f>
        <v>192000</v>
      </c>
      <c r="E47" s="34">
        <f>SUM(Inputs!P139:S139)</f>
        <v>233843</v>
      </c>
      <c r="F47" s="34">
        <f>Inputs!T139</f>
        <v>269443</v>
      </c>
    </row>
    <row r="48" spans="1:6" ht="15.5" customHeight="1" x14ac:dyDescent="0.25">
      <c r="A48"/>
      <c r="B48" s="22"/>
      <c r="C48" s="1"/>
      <c r="D48" s="34"/>
      <c r="E48" s="34"/>
      <c r="F48" s="34"/>
    </row>
    <row r="49" spans="1:6" ht="15.5" customHeight="1" x14ac:dyDescent="0.25">
      <c r="A49"/>
      <c r="B49" s="323" t="str">
        <f>Inputs!B157</f>
        <v>OPEX – United States</v>
      </c>
      <c r="C49" s="324"/>
      <c r="D49" s="325"/>
      <c r="E49" s="325"/>
      <c r="F49" s="325"/>
    </row>
    <row r="50" spans="1:6" ht="15.5" customHeight="1" x14ac:dyDescent="0.25">
      <c r="A50"/>
      <c r="B50"/>
      <c r="C50" s="1"/>
    </row>
    <row r="51" spans="1:6" ht="15.5" customHeight="1" x14ac:dyDescent="0.3">
      <c r="A51"/>
      <c r="B51" s="326" t="str">
        <f>Inputs!B159</f>
        <v>Transaction-based commissions passed through</v>
      </c>
      <c r="C51" s="327"/>
      <c r="D51" s="330">
        <f>SUM(D52:D53)</f>
        <v>117750</v>
      </c>
      <c r="E51" s="330">
        <f t="shared" ref="E51:F51" si="6">SUM(E52:E53)</f>
        <v>21467869.03956043</v>
      </c>
      <c r="F51" s="330">
        <f t="shared" si="6"/>
        <v>50343956.226558544</v>
      </c>
    </row>
    <row r="52" spans="1:6" ht="15.5" customHeight="1" x14ac:dyDescent="0.25">
      <c r="A52"/>
      <c r="B52" s="22" t="str">
        <f>Inputs!B161</f>
        <v>Commission passed through to issuers / bercode usage</v>
      </c>
      <c r="C52" s="45" t="s">
        <v>33</v>
      </c>
      <c r="D52" s="34">
        <f>SUM(Inputs!D161:O161)</f>
        <v>58875</v>
      </c>
      <c r="E52" s="34">
        <f>SUM(Inputs!P161:S161)</f>
        <v>10733934.519780215</v>
      </c>
      <c r="F52" s="34">
        <f>Inputs!T161</f>
        <v>25171978.113279272</v>
      </c>
    </row>
    <row r="53" spans="1:6" ht="15.5" customHeight="1" x14ac:dyDescent="0.25">
      <c r="A53"/>
      <c r="B53" s="22" t="str">
        <f>Inputs!B163</f>
        <v>Commission passed through to issuers / merchant traffic</v>
      </c>
      <c r="C53" s="45" t="s">
        <v>33</v>
      </c>
      <c r="D53" s="34">
        <f>SUM(Inputs!D163:O163)</f>
        <v>58875</v>
      </c>
      <c r="E53" s="34">
        <f>SUM(Inputs!P163:S163)</f>
        <v>10733934.519780215</v>
      </c>
      <c r="F53" s="34">
        <f>Inputs!T163</f>
        <v>25171978.113279272</v>
      </c>
    </row>
    <row r="54" spans="1:6" ht="15.5" customHeight="1" x14ac:dyDescent="0.25">
      <c r="A54"/>
      <c r="B54"/>
      <c r="C54" s="1"/>
    </row>
    <row r="55" spans="1:6" ht="15.5" customHeight="1" x14ac:dyDescent="0.25">
      <c r="A55"/>
      <c r="B55" s="332" t="s">
        <v>260</v>
      </c>
      <c r="C55" s="327"/>
      <c r="D55" s="329">
        <f>SUM(D56:D59)</f>
        <v>0</v>
      </c>
      <c r="E55" s="329">
        <f>SUM(E56:E59)</f>
        <v>206187</v>
      </c>
      <c r="F55" s="329">
        <f>SUM(F56:F59)</f>
        <v>473064</v>
      </c>
    </row>
    <row r="56" spans="1:6" ht="15.5" customHeight="1" x14ac:dyDescent="0.25">
      <c r="A56"/>
      <c r="B56" s="22" t="str">
        <f>Inputs!B173</f>
        <v>Support and partner onboarding</v>
      </c>
      <c r="C56" s="31" t="s">
        <v>33</v>
      </c>
      <c r="D56" s="34">
        <f>SUM(Inputs!D173:O173)</f>
        <v>0</v>
      </c>
      <c r="E56" s="34">
        <f>SUM(Inputs!P173:S173)</f>
        <v>28351</v>
      </c>
      <c r="F56" s="34">
        <f>Inputs!T173</f>
        <v>84728</v>
      </c>
    </row>
    <row r="57" spans="1:6" ht="15.5" customHeight="1" x14ac:dyDescent="0.25">
      <c r="A57"/>
      <c r="B57" s="22" t="str">
        <f>Inputs!B174</f>
        <v>Local operations management</v>
      </c>
      <c r="C57" s="31" t="s">
        <v>33</v>
      </c>
      <c r="D57" s="34">
        <f>SUM(Inputs!D174:O174)</f>
        <v>0</v>
      </c>
      <c r="E57" s="34">
        <f>SUM(Inputs!P174:S174)</f>
        <v>64433</v>
      </c>
      <c r="F57" s="34">
        <f>Inputs!T174</f>
        <v>105910</v>
      </c>
    </row>
    <row r="58" spans="1:6" ht="15.5" customHeight="1" x14ac:dyDescent="0.25">
      <c r="A58"/>
      <c r="B58" s="22" t="str">
        <f>Inputs!B175</f>
        <v>Secretarial and administrative support</v>
      </c>
      <c r="C58" s="31" t="s">
        <v>33</v>
      </c>
      <c r="D58" s="34">
        <f>SUM(Inputs!D175:O175)</f>
        <v>0</v>
      </c>
      <c r="E58" s="34">
        <f>SUM(Inputs!P175:S175)</f>
        <v>20618</v>
      </c>
      <c r="F58" s="34">
        <f>Inputs!T175</f>
        <v>45188</v>
      </c>
    </row>
    <row r="59" spans="1:6" ht="15.5" customHeight="1" x14ac:dyDescent="0.25">
      <c r="A59"/>
      <c r="B59" s="22" t="str">
        <f>Inputs!B176</f>
        <v>Marketing and partner relationships</v>
      </c>
      <c r="C59" s="31" t="s">
        <v>33</v>
      </c>
      <c r="D59" s="34">
        <f>SUM(Inputs!D176:O176)</f>
        <v>0</v>
      </c>
      <c r="E59" s="34">
        <f>SUM(Inputs!P176:S176)</f>
        <v>92785</v>
      </c>
      <c r="F59" s="34">
        <f>Inputs!T176</f>
        <v>237238</v>
      </c>
    </row>
    <row r="60" spans="1:6" ht="15.5" customHeight="1" x14ac:dyDescent="0.25">
      <c r="A60"/>
      <c r="B60"/>
      <c r="C60" s="1"/>
    </row>
    <row r="61" spans="1:6" ht="15.5" customHeight="1" x14ac:dyDescent="0.25">
      <c r="A61"/>
      <c r="B61" s="67" t="s">
        <v>261</v>
      </c>
      <c r="C61" s="31" t="s">
        <v>33</v>
      </c>
      <c r="D61" s="34">
        <v>0</v>
      </c>
      <c r="E61" s="34">
        <v>0</v>
      </c>
      <c r="F61" s="34">
        <v>0</v>
      </c>
    </row>
    <row r="62" spans="1:6" ht="15.5" customHeight="1" x14ac:dyDescent="0.25">
      <c r="A62"/>
      <c r="B62" s="22"/>
      <c r="C62" s="1"/>
      <c r="D62" s="34"/>
      <c r="E62" s="34"/>
      <c r="F62" s="34"/>
    </row>
    <row r="63" spans="1:6" ht="15.5" customHeight="1" x14ac:dyDescent="0.25">
      <c r="A63"/>
      <c r="B63" s="326" t="str">
        <f>Inputs!B178</f>
        <v>Work arrangements and local business presence</v>
      </c>
      <c r="C63" s="327"/>
      <c r="D63" s="329">
        <f>SUM(D64:D66)</f>
        <v>0</v>
      </c>
      <c r="E63" s="329">
        <f>SUM(E64:E66)</f>
        <v>22312.5</v>
      </c>
      <c r="F63" s="329">
        <f>SUM(F64:F66)</f>
        <v>23250</v>
      </c>
    </row>
    <row r="64" spans="1:6" ht="15.5" customHeight="1" x14ac:dyDescent="0.25">
      <c r="A64"/>
      <c r="B64" s="22" t="str">
        <f>Inputs!B179</f>
        <v>Coworking, meeting rooms and local business presence</v>
      </c>
      <c r="C64" s="31" t="s">
        <v>33</v>
      </c>
      <c r="D64" s="34">
        <f>SUM(Inputs!D179:O179)</f>
        <v>0</v>
      </c>
      <c r="E64" s="34">
        <f>SUM(Inputs!P179:S179)</f>
        <v>12000</v>
      </c>
      <c r="F64" s="34">
        <f>Inputs!T179</f>
        <v>12000</v>
      </c>
    </row>
    <row r="65" spans="1:6" ht="15.5" customHeight="1" x14ac:dyDescent="0.25">
      <c r="A65"/>
      <c r="B65" s="22" t="str">
        <f>Inputs!B180</f>
        <v>Remote-work allowance</v>
      </c>
      <c r="C65" s="31" t="s">
        <v>33</v>
      </c>
      <c r="D65" s="34">
        <f>SUM(Inputs!D180:O180)</f>
        <v>0</v>
      </c>
      <c r="E65" s="34">
        <f>SUM(Inputs!P180:S180)</f>
        <v>10312.5</v>
      </c>
      <c r="F65" s="34">
        <f>Inputs!T180</f>
        <v>11250</v>
      </c>
    </row>
    <row r="66" spans="1:6" ht="15.5" customHeight="1" x14ac:dyDescent="0.25">
      <c r="A66"/>
      <c r="B66" s="22" t="str">
        <f>Inputs!B181</f>
        <v>Regional office – only upon sufficient scale and separate approval</v>
      </c>
      <c r="C66" s="31" t="s">
        <v>33</v>
      </c>
      <c r="D66" s="34">
        <f>SUM(Inputs!D181:O181)</f>
        <v>0</v>
      </c>
      <c r="E66" s="34">
        <f>SUM(Inputs!P181:S181)</f>
        <v>0</v>
      </c>
      <c r="F66" s="34">
        <f>Inputs!T181</f>
        <v>0</v>
      </c>
    </row>
    <row r="67" spans="1:6" ht="15.5" customHeight="1" x14ac:dyDescent="0.25">
      <c r="A67"/>
      <c r="B67" s="22"/>
      <c r="C67" s="1"/>
      <c r="D67" s="34"/>
      <c r="E67" s="34"/>
      <c r="F67" s="34"/>
    </row>
    <row r="68" spans="1:6" ht="15.5" customHeight="1" x14ac:dyDescent="0.25">
      <c r="A68"/>
      <c r="B68" s="326" t="str">
        <f>Inputs!B184</f>
        <v>Marketing and market development</v>
      </c>
      <c r="C68" s="327"/>
      <c r="D68" s="329">
        <f>SUM(D69:D71)</f>
        <v>27272.730000000003</v>
      </c>
      <c r="E68" s="329">
        <f>SUM(E69:E71)</f>
        <v>108174.57</v>
      </c>
      <c r="F68" s="329">
        <f>SUM(F69:F71)</f>
        <v>186407.77</v>
      </c>
    </row>
    <row r="69" spans="1:6" ht="15.5" customHeight="1" x14ac:dyDescent="0.25">
      <c r="A69"/>
      <c r="B69" s="22" t="str">
        <f>Inputs!B185</f>
        <v>Partner acquisition and market-entry campaigns</v>
      </c>
      <c r="C69" s="31" t="s">
        <v>33</v>
      </c>
      <c r="D69" s="34">
        <f>SUM(Inputs!D185:O185)</f>
        <v>0</v>
      </c>
      <c r="E69" s="34">
        <f>SUM(Inputs!P185:S185)</f>
        <v>49807</v>
      </c>
      <c r="F69" s="34">
        <f>Inputs!T185</f>
        <v>0</v>
      </c>
    </row>
    <row r="70" spans="1:6" ht="15.5" customHeight="1" x14ac:dyDescent="0.25">
      <c r="A70"/>
      <c r="B70" s="22" t="str">
        <f>Inputs!B186</f>
        <v>Online advertising and digital campaigns</v>
      </c>
      <c r="C70" s="31" t="s">
        <v>33</v>
      </c>
      <c r="D70" s="34">
        <f>SUM(Inputs!D186:O186)</f>
        <v>27272.730000000003</v>
      </c>
      <c r="E70" s="34">
        <f>SUM(Inputs!P186:S186)</f>
        <v>58367.57</v>
      </c>
      <c r="F70" s="34">
        <f>Inputs!T186</f>
        <v>186407.77</v>
      </c>
    </row>
    <row r="71" spans="1:6" ht="15.5" customHeight="1" x14ac:dyDescent="0.25">
      <c r="A71"/>
      <c r="B71"/>
      <c r="C71" s="1"/>
    </row>
    <row r="72" spans="1:6" ht="15.5" customHeight="1" x14ac:dyDescent="0.25">
      <c r="A72"/>
      <c r="B72" s="22"/>
      <c r="C72" s="1"/>
      <c r="D72" s="34"/>
      <c r="E72" s="34"/>
      <c r="F72" s="34"/>
    </row>
    <row r="73" spans="1:6" ht="15.5" customHeight="1" x14ac:dyDescent="0.25">
      <c r="A73"/>
      <c r="B73" s="326" t="str">
        <f>Inputs!B188</f>
        <v>Travel and in-person business presence</v>
      </c>
      <c r="C73" s="327"/>
      <c r="D73" s="331">
        <f>SUM(D74)</f>
        <v>0</v>
      </c>
      <c r="E73" s="331">
        <f t="shared" ref="E73:F73" si="7">SUM(E74)</f>
        <v>166000</v>
      </c>
      <c r="F73" s="331">
        <f t="shared" si="7"/>
        <v>500000</v>
      </c>
    </row>
    <row r="74" spans="1:6" ht="15.5" customHeight="1" x14ac:dyDescent="0.25">
      <c r="A74"/>
      <c r="B74" s="22" t="str">
        <f>Inputs!B189</f>
        <v>Travel</v>
      </c>
      <c r="C74" s="45" t="s">
        <v>33</v>
      </c>
      <c r="D74" s="34">
        <f>SUM(Inputs!D189:O189)</f>
        <v>0</v>
      </c>
      <c r="E74" s="34">
        <f>SUM(Inputs!P189:S189)</f>
        <v>166000</v>
      </c>
      <c r="F74" s="34">
        <f>Inputs!T189</f>
        <v>500000</v>
      </c>
    </row>
    <row r="75" spans="1:6" ht="15.5" customHeight="1" x14ac:dyDescent="0.25">
      <c r="A75"/>
      <c r="B75" s="22"/>
      <c r="C75" s="1"/>
      <c r="D75" s="34"/>
      <c r="E75" s="34"/>
      <c r="F75" s="34"/>
    </row>
    <row r="76" spans="1:6" ht="15.5" customHeight="1" x14ac:dyDescent="0.25">
      <c r="A76"/>
      <c r="B76" s="22"/>
      <c r="C76" s="1"/>
      <c r="D76" s="34"/>
      <c r="E76" s="34"/>
      <c r="F76" s="34"/>
    </row>
    <row r="77" spans="1:6" ht="15.5" customHeight="1" x14ac:dyDescent="0.25">
      <c r="A77"/>
      <c r="B77" s="323" t="str">
        <f>Inputs!B191</f>
        <v>OPEX – Asia</v>
      </c>
      <c r="C77" s="324"/>
      <c r="D77" s="324"/>
      <c r="E77" s="324"/>
      <c r="F77" s="324"/>
    </row>
    <row r="78" spans="1:6" ht="15.5" customHeight="1" x14ac:dyDescent="0.25">
      <c r="A78"/>
      <c r="B78" s="22"/>
      <c r="C78" s="1"/>
      <c r="D78" s="34"/>
      <c r="E78" s="34"/>
      <c r="F78" s="34"/>
    </row>
    <row r="79" spans="1:6" ht="15.5" customHeight="1" x14ac:dyDescent="0.25">
      <c r="A79"/>
      <c r="B79" s="326" t="str">
        <f>Inputs!B193</f>
        <v>Transaction-based commissions passed through</v>
      </c>
      <c r="C79" s="327"/>
      <c r="D79" s="331">
        <f>SUM(D80:D81)</f>
        <v>0</v>
      </c>
      <c r="E79" s="331">
        <f t="shared" ref="E79:F79" si="8">SUM(E80:E81)</f>
        <v>0</v>
      </c>
      <c r="F79" s="331">
        <f t="shared" si="8"/>
        <v>121345.12701877503</v>
      </c>
    </row>
    <row r="80" spans="1:6" ht="15.5" customHeight="1" x14ac:dyDescent="0.25">
      <c r="A80"/>
      <c r="B80" s="22" t="str">
        <f>Inputs!B195</f>
        <v>Commission passed through to issuers / bercode usage</v>
      </c>
      <c r="C80" s="45" t="s">
        <v>33</v>
      </c>
      <c r="D80" s="34">
        <f>SUM(Inputs!D195:O195)</f>
        <v>0</v>
      </c>
      <c r="E80" s="34">
        <f>SUM(Inputs!P195:S195)</f>
        <v>0</v>
      </c>
      <c r="F80" s="34">
        <f>Inputs!T195</f>
        <v>60672.563509387517</v>
      </c>
    </row>
    <row r="81" spans="1:6" ht="15.5" customHeight="1" x14ac:dyDescent="0.25">
      <c r="A81"/>
      <c r="B81" s="22" t="str">
        <f>Inputs!B197</f>
        <v>Commission passed through to issuers / merchant traffic</v>
      </c>
      <c r="C81" s="45" t="s">
        <v>33</v>
      </c>
      <c r="D81" s="34">
        <f>SUM(Inputs!D197:O197)</f>
        <v>0</v>
      </c>
      <c r="E81" s="34">
        <f>SUM(Inputs!P197:S197)</f>
        <v>0</v>
      </c>
      <c r="F81" s="34">
        <f>Inputs!T197</f>
        <v>60672.563509387517</v>
      </c>
    </row>
    <row r="82" spans="1:6" ht="15.5" customHeight="1" x14ac:dyDescent="0.25">
      <c r="A82"/>
      <c r="B82" s="22"/>
      <c r="C82" s="1"/>
      <c r="D82" s="34"/>
      <c r="E82" s="34"/>
      <c r="F82" s="34"/>
    </row>
    <row r="83" spans="1:6" ht="15.5" customHeight="1" x14ac:dyDescent="0.25">
      <c r="A83"/>
      <c r="B83" s="326" t="s">
        <v>260</v>
      </c>
      <c r="C83" s="327"/>
      <c r="D83" s="329">
        <f>SUM(D84:D87)</f>
        <v>0</v>
      </c>
      <c r="E83" s="329">
        <f>SUM(E84:E87)</f>
        <v>19845</v>
      </c>
      <c r="F83" s="329">
        <f>SUM(F84:F87)</f>
        <v>52743</v>
      </c>
    </row>
    <row r="84" spans="1:6" ht="15.5" customHeight="1" x14ac:dyDescent="0.25">
      <c r="A84"/>
      <c r="B84" s="22" t="str">
        <f>Inputs!B207</f>
        <v>Support and partner onboarding</v>
      </c>
      <c r="C84" s="45" t="s">
        <v>33</v>
      </c>
      <c r="D84" s="34">
        <f>SUM(Inputs!D207:O207)</f>
        <v>0</v>
      </c>
      <c r="E84" s="34">
        <f>SUM(Inputs!P207:S207)</f>
        <v>3092</v>
      </c>
      <c r="F84" s="34">
        <f>Inputs!T207</f>
        <v>9320</v>
      </c>
    </row>
    <row r="85" spans="1:6" ht="15.5" customHeight="1" x14ac:dyDescent="0.25">
      <c r="A85"/>
      <c r="B85" s="22" t="str">
        <f>Inputs!B208</f>
        <v>Local operations management</v>
      </c>
      <c r="C85" s="45" t="s">
        <v>33</v>
      </c>
      <c r="D85" s="34">
        <f>SUM(Inputs!D208:O208)</f>
        <v>0</v>
      </c>
      <c r="E85" s="34">
        <f>SUM(Inputs!P208:S208)</f>
        <v>9020</v>
      </c>
      <c r="F85" s="34">
        <f>Inputs!T208</f>
        <v>19770</v>
      </c>
    </row>
    <row r="86" spans="1:6" ht="15.5" customHeight="1" x14ac:dyDescent="0.25">
      <c r="A86"/>
      <c r="B86" s="22" t="str">
        <f>Inputs!B209</f>
        <v>Secretarial and administrative support</v>
      </c>
      <c r="C86" s="45" t="s">
        <v>33</v>
      </c>
      <c r="D86" s="34">
        <f>SUM(Inputs!D209:O209)</f>
        <v>0</v>
      </c>
      <c r="E86" s="34">
        <f>SUM(Inputs!P209:S209)</f>
        <v>1289</v>
      </c>
      <c r="F86" s="34">
        <f>Inputs!T209</f>
        <v>4236</v>
      </c>
    </row>
    <row r="87" spans="1:6" ht="15.5" customHeight="1" x14ac:dyDescent="0.25">
      <c r="A87"/>
      <c r="B87" s="22" t="str">
        <f>Inputs!B210</f>
        <v>Marketing and partner relationships</v>
      </c>
      <c r="C87" s="45" t="s">
        <v>33</v>
      </c>
      <c r="D87" s="34">
        <f>SUM(Inputs!D210:O210)</f>
        <v>0</v>
      </c>
      <c r="E87" s="34">
        <f>SUM(Inputs!P210:S210)</f>
        <v>6444</v>
      </c>
      <c r="F87" s="34">
        <f>Inputs!T210</f>
        <v>19417</v>
      </c>
    </row>
    <row r="88" spans="1:6" ht="15.5" customHeight="1" x14ac:dyDescent="0.25">
      <c r="A88"/>
      <c r="B88" s="22"/>
      <c r="C88" s="1"/>
      <c r="D88" s="34"/>
      <c r="E88" s="34"/>
      <c r="F88" s="34"/>
    </row>
    <row r="89" spans="1:6" ht="15.5" customHeight="1" x14ac:dyDescent="0.25">
      <c r="A89"/>
      <c r="B89" s="67" t="s">
        <v>261</v>
      </c>
      <c r="C89" s="31" t="s">
        <v>33</v>
      </c>
      <c r="D89" s="34">
        <v>0</v>
      </c>
      <c r="E89" s="34">
        <v>0</v>
      </c>
      <c r="F89" s="34">
        <v>0</v>
      </c>
    </row>
    <row r="90" spans="1:6" ht="15.5" customHeight="1" x14ac:dyDescent="0.25">
      <c r="A90"/>
      <c r="B90" s="22"/>
      <c r="C90" s="1"/>
      <c r="D90" s="34"/>
      <c r="E90" s="34"/>
      <c r="F90" s="34"/>
    </row>
    <row r="91" spans="1:6" ht="15.5" customHeight="1" x14ac:dyDescent="0.25">
      <c r="A91"/>
      <c r="B91" s="326" t="str">
        <f>Inputs!B212</f>
        <v>Work arrangements and local business presence</v>
      </c>
      <c r="C91" s="327"/>
      <c r="D91" s="329">
        <f>SUM(D92:D94)</f>
        <v>0</v>
      </c>
      <c r="E91" s="329">
        <f>SUM(E92:E94)</f>
        <v>9487.5</v>
      </c>
      <c r="F91" s="329">
        <f>SUM(F92:F94)</f>
        <v>15225</v>
      </c>
    </row>
    <row r="92" spans="1:6" ht="15.5" customHeight="1" x14ac:dyDescent="0.25">
      <c r="A92"/>
      <c r="B92" s="22" t="str">
        <f>Inputs!B213</f>
        <v>Coworking, meeting rooms and local business presence</v>
      </c>
      <c r="C92" s="31" t="s">
        <v>33</v>
      </c>
      <c r="D92" s="34">
        <f>SUM(Inputs!D213:O213)</f>
        <v>0</v>
      </c>
      <c r="E92" s="34">
        <f>SUM(Inputs!P213:S213)</f>
        <v>4800</v>
      </c>
      <c r="F92" s="34">
        <f>Inputs!T213</f>
        <v>9600</v>
      </c>
    </row>
    <row r="93" spans="1:6" ht="15.5" customHeight="1" x14ac:dyDescent="0.25">
      <c r="A93"/>
      <c r="B93" s="22" t="str">
        <f>Inputs!B214</f>
        <v>Remote-work allowance</v>
      </c>
      <c r="C93" s="31" t="s">
        <v>33</v>
      </c>
      <c r="D93" s="34">
        <f>SUM(Inputs!D214:O214)</f>
        <v>0</v>
      </c>
      <c r="E93" s="34">
        <f>SUM(Inputs!P214:S214)</f>
        <v>4687.5</v>
      </c>
      <c r="F93" s="34">
        <f>Inputs!T214</f>
        <v>5625</v>
      </c>
    </row>
    <row r="94" spans="1:6" ht="15.5" customHeight="1" x14ac:dyDescent="0.25">
      <c r="A94"/>
      <c r="B94" s="22" t="str">
        <f>Inputs!B215</f>
        <v>Regional office – only upon sufficient scale and separate approval</v>
      </c>
      <c r="C94" s="31" t="s">
        <v>33</v>
      </c>
      <c r="D94" s="34">
        <f>SUM(Inputs!D215:O215)</f>
        <v>0</v>
      </c>
      <c r="E94" s="34">
        <f>SUM(Inputs!P215:S215)</f>
        <v>0</v>
      </c>
      <c r="F94" s="34">
        <f>Inputs!T215</f>
        <v>0</v>
      </c>
    </row>
    <row r="95" spans="1:6" ht="15.5" customHeight="1" x14ac:dyDescent="0.25">
      <c r="A95"/>
      <c r="B95" s="22"/>
      <c r="C95" s="1"/>
      <c r="D95" s="34"/>
      <c r="E95" s="34"/>
      <c r="F95" s="34"/>
    </row>
    <row r="96" spans="1:6" ht="15.5" customHeight="1" x14ac:dyDescent="0.25">
      <c r="A96"/>
      <c r="B96" s="326" t="str">
        <f>Inputs!B218</f>
        <v>Marketing and market development</v>
      </c>
      <c r="C96" s="327"/>
      <c r="D96" s="329">
        <f>SUM(D97:D99)</f>
        <v>11363.639999999974</v>
      </c>
      <c r="E96" s="329">
        <f>SUM(E97:E99)</f>
        <v>72718.239999999991</v>
      </c>
      <c r="F96" s="329">
        <f>SUM(F97:F99)</f>
        <v>155339.80000000005</v>
      </c>
    </row>
    <row r="97" spans="1:14" ht="15.5" customHeight="1" x14ac:dyDescent="0.25">
      <c r="A97"/>
      <c r="B97" s="22" t="str">
        <f>Inputs!B219</f>
        <v>Partner acquisition and market-entry campaigns</v>
      </c>
      <c r="C97" s="31" t="s">
        <v>33</v>
      </c>
      <c r="D97" s="34">
        <f>SUM(Inputs!D219:O219)</f>
        <v>0</v>
      </c>
      <c r="E97" s="34">
        <f>SUM(Inputs!P219:S219)</f>
        <v>49806.99</v>
      </c>
      <c r="F97" s="34">
        <f>Inputs!T219</f>
        <v>93203.88</v>
      </c>
    </row>
    <row r="98" spans="1:14" ht="15.5" customHeight="1" x14ac:dyDescent="0.25">
      <c r="A98"/>
      <c r="B98" s="22" t="str">
        <f>Inputs!B220</f>
        <v>Online advertising and digital campaigns</v>
      </c>
      <c r="C98" s="31" t="s">
        <v>33</v>
      </c>
      <c r="D98" s="34">
        <f>SUM(Inputs!D220:O220)</f>
        <v>11363.639999999974</v>
      </c>
      <c r="E98" s="34">
        <f>SUM(Inputs!P220:S220)</f>
        <v>22911.25</v>
      </c>
      <c r="F98" s="34">
        <f>Inputs!T220</f>
        <v>62135.920000000042</v>
      </c>
    </row>
    <row r="99" spans="1:14" ht="15.5" customHeight="1" x14ac:dyDescent="0.25">
      <c r="A99"/>
      <c r="B99"/>
      <c r="C99" s="1"/>
    </row>
    <row r="100" spans="1:14" ht="15.5" customHeight="1" x14ac:dyDescent="0.25">
      <c r="A100"/>
      <c r="B100" s="326" t="str">
        <f>Inputs!B222</f>
        <v>Travel and in-person business presence</v>
      </c>
      <c r="C100" s="327"/>
      <c r="D100" s="331">
        <f>SUM(D101)</f>
        <v>0</v>
      </c>
      <c r="E100" s="331">
        <f t="shared" ref="E100:F100" si="9">SUM(E101)</f>
        <v>103000</v>
      </c>
      <c r="F100" s="331">
        <f t="shared" si="9"/>
        <v>300000</v>
      </c>
    </row>
    <row r="101" spans="1:14" ht="15.5" customHeight="1" x14ac:dyDescent="0.25">
      <c r="A101"/>
      <c r="B101" s="22" t="str">
        <f>Inputs!B223</f>
        <v>Travel</v>
      </c>
      <c r="C101" s="45" t="s">
        <v>33</v>
      </c>
      <c r="D101" s="34">
        <f>SUM(Inputs!D223:O223)</f>
        <v>0</v>
      </c>
      <c r="E101" s="34">
        <f>SUM(Inputs!P223:S223)</f>
        <v>103000</v>
      </c>
      <c r="F101" s="34">
        <f>Inputs!T223</f>
        <v>300000</v>
      </c>
    </row>
    <row r="102" spans="1:14" ht="15.5" customHeight="1" x14ac:dyDescent="0.25">
      <c r="A102"/>
      <c r="B102"/>
      <c r="C102" s="1"/>
    </row>
    <row r="103" spans="1:14" ht="15.5" customHeight="1" x14ac:dyDescent="0.25">
      <c r="A103"/>
      <c r="B103" s="323" t="s">
        <v>262</v>
      </c>
      <c r="C103" s="324"/>
      <c r="D103" s="325"/>
      <c r="E103" s="325"/>
      <c r="F103" s="325"/>
    </row>
    <row r="104" spans="1:14" ht="15.5" customHeight="1" x14ac:dyDescent="0.25">
      <c r="A104"/>
      <c r="B104"/>
      <c r="C104" s="1"/>
    </row>
    <row r="105" spans="1:14" ht="15.5" customHeight="1" x14ac:dyDescent="0.25">
      <c r="A105"/>
      <c r="B105" s="332" t="s">
        <v>263</v>
      </c>
      <c r="C105" s="334" t="s">
        <v>33</v>
      </c>
      <c r="D105" s="331">
        <f>D106-D107</f>
        <v>0</v>
      </c>
      <c r="E105" s="331">
        <f>E106-E107</f>
        <v>0</v>
      </c>
      <c r="F105" s="331">
        <f>F106-F107</f>
        <v>0</v>
      </c>
    </row>
    <row r="106" spans="1:14" ht="15.5" customHeight="1" x14ac:dyDescent="0.25">
      <c r="A106"/>
      <c r="B106" s="333" t="s">
        <v>247</v>
      </c>
      <c r="C106" s="45" t="s">
        <v>33</v>
      </c>
      <c r="D106">
        <f>'5Y – Cost Model'!C26</f>
        <v>0</v>
      </c>
      <c r="E106">
        <f>'5Y – Cost Model'!D26</f>
        <v>0</v>
      </c>
      <c r="F106">
        <f>'5Y – Cost Model'!E26</f>
        <v>0</v>
      </c>
    </row>
    <row r="107" spans="1:14" ht="15.5" customHeight="1" x14ac:dyDescent="0.25">
      <c r="A107"/>
      <c r="B107" s="22" t="s">
        <v>264</v>
      </c>
      <c r="C107" s="31" t="s">
        <v>33</v>
      </c>
      <c r="D107" s="34">
        <v>0</v>
      </c>
      <c r="E107" s="34">
        <v>0</v>
      </c>
      <c r="F107" s="34">
        <v>0</v>
      </c>
    </row>
    <row r="108" spans="1:14" ht="10.4" customHeight="1" x14ac:dyDescent="0.25">
      <c r="A108"/>
    </row>
    <row r="109" spans="1:14" ht="10.4" customHeight="1" x14ac:dyDescent="0.25">
      <c r="A109"/>
    </row>
    <row r="110" spans="1:14" ht="10.4" customHeight="1" x14ac:dyDescent="0.25">
      <c r="A110"/>
      <c r="B110" s="22"/>
      <c r="C110" s="22"/>
      <c r="D110" s="22"/>
      <c r="E110" s="22"/>
      <c r="F110" s="22"/>
      <c r="G110" s="22"/>
      <c r="H110" s="22"/>
      <c r="I110" s="22"/>
      <c r="J110" s="22"/>
      <c r="K110" s="22"/>
      <c r="L110" s="22"/>
      <c r="M110" s="22"/>
      <c r="N110" s="22"/>
    </row>
    <row r="111" spans="1:14" ht="10.4" customHeight="1" x14ac:dyDescent="0.25">
      <c r="A111"/>
      <c r="B111" s="22"/>
      <c r="C111" s="22"/>
      <c r="D111" s="22"/>
      <c r="E111" s="22"/>
      <c r="F111" s="22"/>
      <c r="G111" s="22"/>
      <c r="H111" s="22"/>
      <c r="I111" s="22"/>
      <c r="J111" s="22"/>
      <c r="K111" s="22"/>
      <c r="L111" s="22"/>
      <c r="M111" s="22"/>
      <c r="N111" s="22"/>
    </row>
    <row r="112" spans="1:14" ht="10.4" customHeight="1" x14ac:dyDescent="0.25">
      <c r="B112" s="22"/>
      <c r="C112" s="22"/>
      <c r="D112" s="22"/>
      <c r="E112" s="22"/>
      <c r="F112" s="22"/>
      <c r="G112" s="22"/>
      <c r="H112" s="22"/>
      <c r="I112" s="22"/>
      <c r="J112" s="22"/>
      <c r="K112" s="22"/>
      <c r="L112" s="22"/>
      <c r="M112" s="22"/>
      <c r="N112" s="22"/>
    </row>
    <row r="113" spans="2:14" ht="10.4" customHeight="1" x14ac:dyDescent="0.25">
      <c r="B113" s="22"/>
      <c r="C113" s="22"/>
      <c r="D113" s="22"/>
      <c r="E113" s="22"/>
      <c r="F113" s="22"/>
      <c r="G113" s="22"/>
      <c r="H113" s="22"/>
      <c r="I113" s="22"/>
      <c r="J113" s="22"/>
      <c r="K113" s="22"/>
      <c r="L113" s="22"/>
      <c r="M113" s="22"/>
      <c r="N113" s="22"/>
    </row>
    <row r="114" spans="2:14" ht="10.4" customHeight="1" x14ac:dyDescent="0.25">
      <c r="B114" s="22"/>
      <c r="C114" s="22"/>
      <c r="D114" s="22"/>
      <c r="E114" s="22"/>
      <c r="F114" s="22"/>
      <c r="G114" s="22"/>
      <c r="H114" s="22"/>
      <c r="I114" s="22"/>
      <c r="J114" s="22"/>
      <c r="K114" s="22"/>
      <c r="L114" s="22"/>
      <c r="M114" s="22"/>
      <c r="N114" s="22"/>
    </row>
    <row r="115" spans="2:14" ht="10.4" customHeight="1" x14ac:dyDescent="0.25">
      <c r="B115" s="22"/>
      <c r="C115" s="22"/>
      <c r="D115" s="22"/>
      <c r="E115" s="22"/>
      <c r="F115" s="22"/>
      <c r="G115" s="22"/>
      <c r="H115" s="22"/>
      <c r="I115" s="22"/>
      <c r="J115" s="22"/>
      <c r="K115" s="22"/>
      <c r="L115" s="22"/>
      <c r="M115" s="22"/>
      <c r="N115" s="22"/>
    </row>
    <row r="116" spans="2:14" ht="10.4" customHeight="1" x14ac:dyDescent="0.25">
      <c r="B116" s="22"/>
      <c r="C116" s="22"/>
      <c r="D116" s="22"/>
      <c r="E116" s="22"/>
      <c r="F116" s="22"/>
      <c r="G116" s="22"/>
      <c r="H116" s="22"/>
      <c r="I116" s="22"/>
      <c r="J116" s="22"/>
      <c r="K116" s="22"/>
      <c r="L116" s="22"/>
      <c r="M116" s="22"/>
      <c r="N116" s="22"/>
    </row>
    <row r="117" spans="2:14" ht="10.4" customHeight="1" x14ac:dyDescent="0.25">
      <c r="B117" s="22"/>
      <c r="C117" s="22"/>
      <c r="D117" s="22"/>
      <c r="E117" s="22"/>
      <c r="F117" s="22"/>
      <c r="G117" s="22"/>
      <c r="H117" s="22"/>
      <c r="I117" s="22"/>
      <c r="J117" s="22"/>
      <c r="K117" s="22"/>
      <c r="L117" s="22"/>
      <c r="M117" s="22"/>
      <c r="N117" s="22"/>
    </row>
    <row r="118" spans="2:14" ht="10.4" customHeight="1" x14ac:dyDescent="0.25">
      <c r="B118" s="22"/>
      <c r="C118" s="22"/>
      <c r="D118" s="22"/>
      <c r="E118" s="22"/>
      <c r="F118" s="22"/>
      <c r="G118" s="22"/>
      <c r="H118" s="22"/>
      <c r="I118" s="22"/>
      <c r="J118" s="22"/>
      <c r="K118" s="22"/>
      <c r="L118" s="22"/>
      <c r="M118" s="22"/>
      <c r="N118" s="22"/>
    </row>
    <row r="119" spans="2:14" ht="10.4" customHeight="1" x14ac:dyDescent="0.25">
      <c r="B119" s="22"/>
      <c r="C119" s="22"/>
      <c r="D119" s="22"/>
      <c r="E119" s="22"/>
      <c r="F119" s="22"/>
      <c r="G119" s="22"/>
      <c r="H119" s="22"/>
      <c r="I119" s="22"/>
      <c r="J119" s="22"/>
      <c r="K119" s="22"/>
      <c r="L119" s="22"/>
      <c r="M119" s="22"/>
      <c r="N119" s="22"/>
    </row>
    <row r="120" spans="2:14" ht="10.4" customHeight="1" x14ac:dyDescent="0.25">
      <c r="B120" s="22"/>
      <c r="C120" s="22"/>
      <c r="D120" s="22"/>
      <c r="E120" s="22"/>
      <c r="F120" s="22"/>
      <c r="G120" s="22"/>
      <c r="H120" s="22"/>
      <c r="I120" s="22"/>
      <c r="J120" s="22"/>
      <c r="K120" s="22"/>
      <c r="L120" s="22"/>
      <c r="M120" s="22"/>
      <c r="N120" s="22"/>
    </row>
    <row r="121" spans="2:14" ht="10.4" customHeight="1" x14ac:dyDescent="0.25">
      <c r="B121" s="22"/>
      <c r="C121" s="22"/>
      <c r="D121" s="22"/>
      <c r="E121" s="22"/>
      <c r="F121" s="22"/>
      <c r="G121" s="22"/>
      <c r="H121" s="22"/>
      <c r="I121" s="22"/>
      <c r="J121" s="22"/>
      <c r="K121" s="22"/>
      <c r="L121" s="22"/>
      <c r="M121" s="22"/>
      <c r="N121" s="22"/>
    </row>
    <row r="122" spans="2:14" ht="10.4" customHeight="1" x14ac:dyDescent="0.25">
      <c r="B122" s="22"/>
      <c r="C122" s="22"/>
      <c r="D122" s="22"/>
      <c r="E122" s="22"/>
      <c r="F122" s="22"/>
      <c r="G122" s="22"/>
      <c r="H122" s="22"/>
      <c r="I122" s="22"/>
      <c r="J122" s="22"/>
      <c r="K122" s="22"/>
      <c r="L122" s="22"/>
      <c r="M122" s="22"/>
      <c r="N122" s="22"/>
    </row>
    <row r="123" spans="2:14" ht="10.4" customHeight="1" x14ac:dyDescent="0.25">
      <c r="B123" s="22"/>
      <c r="C123" s="22"/>
      <c r="D123" s="22"/>
      <c r="E123" s="22"/>
      <c r="F123" s="22"/>
      <c r="G123" s="22"/>
      <c r="H123" s="22"/>
      <c r="I123" s="22"/>
      <c r="J123" s="22"/>
      <c r="K123" s="22"/>
      <c r="L123" s="22"/>
      <c r="M123" s="22"/>
      <c r="N123" s="22"/>
    </row>
    <row r="124" spans="2:14" ht="10.4" customHeight="1" x14ac:dyDescent="0.25">
      <c r="B124" s="22"/>
      <c r="C124" s="22"/>
      <c r="D124" s="22"/>
      <c r="E124" s="22"/>
      <c r="F124" s="22"/>
      <c r="G124" s="22"/>
      <c r="H124" s="22"/>
      <c r="I124" s="22"/>
      <c r="J124" s="22"/>
      <c r="K124" s="22"/>
      <c r="L124" s="22"/>
      <c r="M124" s="22"/>
      <c r="N124" s="22"/>
    </row>
    <row r="125" spans="2:14" ht="10.4" customHeight="1" x14ac:dyDescent="0.25">
      <c r="B125" s="22"/>
      <c r="C125" s="22"/>
      <c r="D125" s="22"/>
      <c r="E125" s="22"/>
      <c r="F125" s="22"/>
      <c r="G125" s="22"/>
      <c r="H125" s="22"/>
      <c r="I125" s="22"/>
      <c r="J125" s="22"/>
      <c r="K125" s="22"/>
      <c r="L125" s="22"/>
      <c r="M125" s="22"/>
      <c r="N125" s="22"/>
    </row>
    <row r="126" spans="2:14" ht="10.4" customHeight="1" x14ac:dyDescent="0.25">
      <c r="B126" s="22"/>
      <c r="C126" s="22"/>
      <c r="D126" s="22"/>
      <c r="E126" s="22"/>
      <c r="F126" s="22"/>
      <c r="G126" s="22"/>
      <c r="H126" s="22"/>
      <c r="I126" s="22"/>
      <c r="J126" s="22"/>
      <c r="K126" s="22"/>
      <c r="L126" s="22"/>
      <c r="M126" s="22"/>
      <c r="N126" s="22"/>
    </row>
    <row r="129" spans="2:10" ht="10.4" customHeight="1" x14ac:dyDescent="0.25">
      <c r="B129" s="122"/>
      <c r="C129" s="122"/>
      <c r="D129" s="122"/>
      <c r="E129" s="122"/>
      <c r="F129" s="122"/>
      <c r="G129" s="122"/>
      <c r="H129" s="122"/>
      <c r="I129" s="122"/>
      <c r="J129" s="122"/>
    </row>
    <row r="130" spans="2:10" ht="10.4" customHeight="1" x14ac:dyDescent="0.25"/>
    <row r="141" spans="2:10" ht="10.4" customHeight="1" x14ac:dyDescent="0.25">
      <c r="B141" s="122"/>
      <c r="C141" s="122"/>
      <c r="D141" s="122"/>
      <c r="E141" s="122"/>
      <c r="F141" s="122"/>
      <c r="G141" s="122"/>
      <c r="H141" s="122"/>
      <c r="I141" s="122"/>
      <c r="J141" s="122"/>
    </row>
    <row r="142" spans="2:10" ht="10.4" customHeight="1" x14ac:dyDescent="0.25"/>
    <row r="153" spans="2:10" ht="10.4" customHeight="1" x14ac:dyDescent="0.25">
      <c r="B153" s="122"/>
      <c r="C153" s="122"/>
      <c r="D153" s="122"/>
      <c r="E153" s="122"/>
      <c r="F153" s="122"/>
      <c r="G153" s="122"/>
      <c r="H153" s="122"/>
      <c r="I153" s="122"/>
      <c r="J153" s="122"/>
    </row>
    <row r="154" spans="2:10" ht="10.4" customHeight="1" x14ac:dyDescent="0.25"/>
    <row r="176" ht="10.4" customHeight="1" x14ac:dyDescent="0.25"/>
    <row r="177" ht="10.4" customHeight="1" x14ac:dyDescent="0.25"/>
    <row r="178" ht="10.4"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6"/>
  <sheetViews>
    <sheetView workbookViewId="0"/>
  </sheetViews>
  <sheetFormatPr defaultColWidth="14.453125" defaultRowHeight="12.5" x14ac:dyDescent="0.25"/>
  <cols>
    <col min="1" max="1" width="3.7265625" style="1" customWidth="1"/>
    <col min="2" max="2" width="53" style="1" customWidth="1"/>
    <col min="3" max="3" width="12" style="45" customWidth="1"/>
    <col min="4" max="6" width="17" style="1" customWidth="1"/>
    <col min="7" max="7" width="14.453125" style="1" customWidth="1"/>
    <col min="8" max="16384" width="14.453125" style="1"/>
  </cols>
  <sheetData>
    <row r="1" spans="2:9" ht="15.75" customHeight="1" x14ac:dyDescent="0.25">
      <c r="C1" s="1"/>
    </row>
    <row r="2" spans="2:9" ht="19.5" customHeight="1" x14ac:dyDescent="0.25">
      <c r="B2" s="20" t="s">
        <v>45</v>
      </c>
      <c r="C2" s="1"/>
    </row>
    <row r="3" spans="2:9" ht="15.75" customHeight="1" x14ac:dyDescent="0.25">
      <c r="B3" s="255" t="s">
        <v>75</v>
      </c>
      <c r="C3" s="1"/>
    </row>
    <row r="4" spans="2:9" ht="15.75" customHeight="1" x14ac:dyDescent="0.25">
      <c r="C4" s="1"/>
    </row>
    <row r="5" spans="2:9" ht="15.75" customHeight="1" x14ac:dyDescent="0.25">
      <c r="B5" s="322"/>
      <c r="C5" s="13" t="s">
        <v>99</v>
      </c>
      <c r="D5" s="13" t="s">
        <v>251</v>
      </c>
      <c r="E5" s="13" t="s">
        <v>252</v>
      </c>
      <c r="F5" s="16" t="s">
        <v>253</v>
      </c>
      <c r="G5" s="22"/>
      <c r="H5" s="22"/>
      <c r="I5" s="22"/>
    </row>
    <row r="6" spans="2:9" ht="15.75" customHeight="1" x14ac:dyDescent="0.25">
      <c r="B6" s="46" t="s">
        <v>265</v>
      </c>
      <c r="C6" s="31" t="s">
        <v>33</v>
      </c>
      <c r="D6" s="2">
        <f>'5Y – Revenue Model'!C7+'5Y – Revenue Model'!C8</f>
        <v>252330.24249999999</v>
      </c>
      <c r="E6" s="2">
        <f>'5Y – Revenue Model'!D7+'5Y – Revenue Model'!D8</f>
        <v>10219456.288028836</v>
      </c>
      <c r="F6" s="2">
        <f>'5Y – Revenue Model'!E7+'5Y – Revenue Model'!E8</f>
        <v>28367342.178557575</v>
      </c>
    </row>
    <row r="7" spans="2:9" ht="15.75" customHeight="1" x14ac:dyDescent="0.25">
      <c r="B7" s="46" t="s">
        <v>266</v>
      </c>
      <c r="C7" s="31" t="s">
        <v>33</v>
      </c>
      <c r="D7" s="2">
        <f>'5Y – Revenue Model'!C9</f>
        <v>177918.75</v>
      </c>
      <c r="E7" s="2">
        <f>'5Y – Revenue Model'!D9</f>
        <v>32318739.201548442</v>
      </c>
      <c r="F7" s="2">
        <f>'5Y – Revenue Model'!E9</f>
        <v>75729352.14100574</v>
      </c>
    </row>
    <row r="8" spans="2:9" ht="15.75" customHeight="1" x14ac:dyDescent="0.25">
      <c r="B8" s="46" t="s">
        <v>267</v>
      </c>
      <c r="C8" s="31" t="s">
        <v>33</v>
      </c>
      <c r="D8" s="2">
        <f>'5Y – Revenue Model'!C10</f>
        <v>37161</v>
      </c>
      <c r="E8" s="2">
        <f>'5Y – Revenue Model'!D10</f>
        <v>323136</v>
      </c>
      <c r="F8" s="2">
        <f>'5Y – Revenue Model'!E10</f>
        <v>461000</v>
      </c>
    </row>
    <row r="9" spans="2:9" ht="15.75" customHeight="1" x14ac:dyDescent="0.25">
      <c r="B9" s="307" t="s">
        <v>268</v>
      </c>
      <c r="C9" s="308" t="s">
        <v>33</v>
      </c>
      <c r="D9" s="309">
        <f>'5Y – Results'!C4</f>
        <v>467409.99249999999</v>
      </c>
      <c r="E9" s="309">
        <f>'5Y – Results'!D4</f>
        <v>42861331.489577278</v>
      </c>
      <c r="F9" s="309">
        <f>'5Y – Results'!E4</f>
        <v>104557694.31956331</v>
      </c>
    </row>
    <row r="10" spans="2:9" ht="15.75" customHeight="1" x14ac:dyDescent="0.25">
      <c r="B10" s="46"/>
      <c r="C10" s="31"/>
      <c r="D10" s="2"/>
      <c r="E10" s="2"/>
      <c r="F10" s="2"/>
    </row>
    <row r="11" spans="2:9" ht="15.75" customHeight="1" x14ac:dyDescent="0.25">
      <c r="B11" s="315" t="s">
        <v>269</v>
      </c>
      <c r="C11" s="316" t="s">
        <v>33</v>
      </c>
      <c r="D11" s="317">
        <f>'5Y – Results'!C5</f>
        <v>118612.5</v>
      </c>
      <c r="E11" s="317">
        <f>'5Y – Results'!D5</f>
        <v>21545826.134365626</v>
      </c>
      <c r="F11" s="317">
        <f>'5Y – Results'!E5</f>
        <v>50486234.760670491</v>
      </c>
    </row>
    <row r="12" spans="2:9" ht="15.75" customHeight="1" x14ac:dyDescent="0.25">
      <c r="B12" s="315" t="s">
        <v>270</v>
      </c>
      <c r="C12" s="316" t="s">
        <v>33</v>
      </c>
      <c r="D12" s="317">
        <f>'5Y – Cost Model'!C8</f>
        <v>192000</v>
      </c>
      <c r="E12" s="317">
        <f>'5Y – Cost Model'!D8</f>
        <v>459875</v>
      </c>
      <c r="F12" s="317">
        <f>'5Y – Cost Model'!E8</f>
        <v>795250</v>
      </c>
    </row>
    <row r="13" spans="2:9" ht="15.75" customHeight="1" x14ac:dyDescent="0.25">
      <c r="B13" s="318" t="s">
        <v>271</v>
      </c>
      <c r="C13" s="316" t="s">
        <v>33</v>
      </c>
      <c r="D13" s="317">
        <f>'5Y – Cost Model'!C9+'5Y – Cost Model'!C10</f>
        <v>16275</v>
      </c>
      <c r="E13" s="317">
        <f>'5Y – Cost Model'!D9+'5Y – Cost Model'!D10</f>
        <v>41175</v>
      </c>
      <c r="F13" s="317">
        <f>'5Y – Cost Model'!E9+'5Y – Cost Model'!E10</f>
        <v>47850</v>
      </c>
    </row>
    <row r="14" spans="2:9" ht="15.75" customHeight="1" x14ac:dyDescent="0.25">
      <c r="B14" s="315" t="s">
        <v>272</v>
      </c>
      <c r="C14" s="316" t="s">
        <v>33</v>
      </c>
      <c r="D14" s="317">
        <f>'5Y – Cost Model'!C11+'5Y – Cost Model'!C12</f>
        <v>13020</v>
      </c>
      <c r="E14" s="317">
        <f>'5Y – Cost Model'!D11+'5Y – Cost Model'!D12</f>
        <v>29750</v>
      </c>
      <c r="F14" s="317">
        <f>'5Y – Cost Model'!E11+'5Y – Cost Model'!E12</f>
        <v>34000</v>
      </c>
    </row>
    <row r="15" spans="2:9" ht="15.75" customHeight="1" x14ac:dyDescent="0.25">
      <c r="B15" s="315" t="s">
        <v>273</v>
      </c>
      <c r="C15" s="316" t="s">
        <v>33</v>
      </c>
      <c r="D15" s="317">
        <f>'5Y – Cost Model'!C13+'5Y – Cost Model'!C14</f>
        <v>96600</v>
      </c>
      <c r="E15" s="317">
        <f>'5Y – Cost Model'!D13+'5Y – Cost Model'!D14</f>
        <v>205000</v>
      </c>
      <c r="F15" s="317">
        <f>'5Y – Cost Model'!E13+'5Y – Cost Model'!E14</f>
        <v>305000</v>
      </c>
    </row>
    <row r="16" spans="2:9" ht="15.75" customHeight="1" x14ac:dyDescent="0.25">
      <c r="B16" s="315" t="s">
        <v>274</v>
      </c>
      <c r="C16" s="316" t="s">
        <v>33</v>
      </c>
      <c r="D16" s="317">
        <f>'5Y – Cost Model'!C16+'5Y – Cost Model'!C17+'5Y – Cost Model'!C18+'5Y – Cost Model'!C19</f>
        <v>69675</v>
      </c>
      <c r="E16" s="317">
        <f>'5Y – Cost Model'!D16+'5Y – Cost Model'!D17+'5Y – Cost Model'!D18+'5Y – Cost Model'!D19</f>
        <v>135675</v>
      </c>
      <c r="F16" s="317">
        <f>'5Y – Cost Model'!E16+'5Y – Cost Model'!E17+'5Y – Cost Model'!E18+'5Y – Cost Model'!E19</f>
        <v>285875</v>
      </c>
    </row>
    <row r="17" spans="1:26" ht="15.75" customHeight="1" x14ac:dyDescent="0.25">
      <c r="B17" s="315" t="s">
        <v>189</v>
      </c>
      <c r="C17" s="316" t="s">
        <v>33</v>
      </c>
      <c r="D17" s="317">
        <f>'5Y – Cost Model'!C20</f>
        <v>90000</v>
      </c>
      <c r="E17" s="317">
        <f>'5Y – Cost Model'!D20</f>
        <v>250000</v>
      </c>
      <c r="F17" s="317">
        <f>'5Y – Cost Model'!E20</f>
        <v>400000</v>
      </c>
    </row>
    <row r="18" spans="1:26" ht="15.75" customHeight="1" x14ac:dyDescent="0.25">
      <c r="B18" s="315" t="s">
        <v>195</v>
      </c>
      <c r="C18" s="316" t="s">
        <v>33</v>
      </c>
      <c r="D18" s="317">
        <f>'5Y – Cost Model'!C21</f>
        <v>17250</v>
      </c>
      <c r="E18" s="317">
        <f>'5Y – Cost Model'!D21</f>
        <v>359000</v>
      </c>
      <c r="F18" s="317">
        <f>'5Y – Cost Model'!E21</f>
        <v>920000</v>
      </c>
      <c r="G18" s="50"/>
    </row>
    <row r="19" spans="1:26" ht="15.75" customHeight="1" x14ac:dyDescent="0.25">
      <c r="B19" s="315" t="s">
        <v>275</v>
      </c>
      <c r="C19" s="316" t="s">
        <v>33</v>
      </c>
      <c r="D19" s="317">
        <f>'5Y – Cost Model'!C15</f>
        <v>80000</v>
      </c>
      <c r="E19" s="317">
        <f>'5Y – Cost Model'!D15</f>
        <v>0</v>
      </c>
      <c r="F19" s="317">
        <f>'5Y – Cost Model'!E15</f>
        <v>0</v>
      </c>
    </row>
    <row r="20" spans="1:26" ht="15.75" customHeight="1" x14ac:dyDescent="0.25">
      <c r="B20" s="319" t="s">
        <v>244</v>
      </c>
      <c r="C20" s="320" t="s">
        <v>33</v>
      </c>
      <c r="D20" s="321">
        <v>0</v>
      </c>
      <c r="E20" s="321">
        <v>0</v>
      </c>
      <c r="F20" s="321">
        <v>0</v>
      </c>
    </row>
    <row r="21" spans="1:26" ht="15.75" customHeight="1" x14ac:dyDescent="0.25">
      <c r="B21" s="310" t="s">
        <v>276</v>
      </c>
      <c r="C21" s="311" t="s">
        <v>33</v>
      </c>
      <c r="D21" s="312">
        <f>SUM(D11:D20)</f>
        <v>693432.5</v>
      </c>
      <c r="E21" s="312">
        <f>SUM(E11:E20)</f>
        <v>23026301.134365626</v>
      </c>
      <c r="F21" s="312">
        <f>SUM(F11:F20)</f>
        <v>53274209.760670491</v>
      </c>
    </row>
    <row r="22" spans="1:26" ht="15.75" customHeight="1" x14ac:dyDescent="0.25">
      <c r="B22" s="47" t="s">
        <v>277</v>
      </c>
      <c r="C22" s="48" t="s">
        <v>33</v>
      </c>
      <c r="D22" s="53">
        <f>D9-D21</f>
        <v>-226022.50750000001</v>
      </c>
      <c r="E22" s="53">
        <f>E9-E21</f>
        <v>19835030.355211653</v>
      </c>
      <c r="F22" s="53">
        <f>F9-F21</f>
        <v>51283484.558892824</v>
      </c>
    </row>
    <row r="23" spans="1:26" ht="15.75" customHeight="1" x14ac:dyDescent="0.25">
      <c r="B23" s="51" t="s">
        <v>264</v>
      </c>
      <c r="C23" s="33" t="s">
        <v>33</v>
      </c>
      <c r="D23" s="35">
        <v>0</v>
      </c>
      <c r="E23" s="35">
        <v>0</v>
      </c>
      <c r="F23" s="35">
        <v>0</v>
      </c>
    </row>
    <row r="24" spans="1:26" ht="15.75" customHeight="1" x14ac:dyDescent="0.25">
      <c r="B24" s="313" t="s">
        <v>278</v>
      </c>
      <c r="C24" s="308" t="s">
        <v>33</v>
      </c>
      <c r="D24" s="314">
        <f>D22-D23</f>
        <v>-226022.50750000001</v>
      </c>
      <c r="E24" s="314">
        <f>E22-E23</f>
        <v>19835030.355211653</v>
      </c>
      <c r="F24" s="314">
        <f>F22-F23</f>
        <v>51283484.558892824</v>
      </c>
    </row>
    <row r="25" spans="1:26" ht="15.75" customHeight="1" x14ac:dyDescent="0.25">
      <c r="A25" s="22"/>
      <c r="B25" s="54" t="s">
        <v>279</v>
      </c>
      <c r="C25" s="55" t="s">
        <v>33</v>
      </c>
      <c r="D25" s="52">
        <f>'5Y – Results'!C17</f>
        <v>0</v>
      </c>
      <c r="E25" s="52">
        <f>'5Y – Results'!D17</f>
        <v>3861322.154594447</v>
      </c>
      <c r="F25" s="52">
        <f>'5Y – Results'!E17</f>
        <v>10769531.757367492</v>
      </c>
      <c r="G25" s="22"/>
      <c r="H25" s="22"/>
      <c r="I25" s="22"/>
      <c r="J25" s="22"/>
      <c r="K25" s="22"/>
      <c r="L25" s="22"/>
      <c r="M25" s="22"/>
      <c r="N25" s="22"/>
      <c r="O25" s="22"/>
      <c r="P25" s="22"/>
      <c r="Q25" s="22"/>
      <c r="R25" s="22"/>
      <c r="S25" s="22"/>
      <c r="T25" s="22"/>
      <c r="U25" s="22"/>
      <c r="V25" s="22"/>
      <c r="W25" s="22"/>
      <c r="X25" s="22"/>
      <c r="Y25" s="22"/>
      <c r="Z25" s="22"/>
    </row>
    <row r="26" spans="1:26" ht="15.75" customHeight="1" x14ac:dyDescent="0.25">
      <c r="B26" s="313" t="s">
        <v>280</v>
      </c>
      <c r="C26" s="308" t="s">
        <v>33</v>
      </c>
      <c r="D26" s="314">
        <f>D24-D25</f>
        <v>-226022.50750000001</v>
      </c>
      <c r="E26" s="314">
        <f>E24-E25</f>
        <v>15973708.200617205</v>
      </c>
      <c r="F26" s="314">
        <f>F24-F25</f>
        <v>40513952.801525332</v>
      </c>
      <c r="G26" s="22"/>
    </row>
    <row r="27" spans="1:26" ht="10.5" customHeight="1" x14ac:dyDescent="0.25"/>
    <row r="28" spans="1:26" ht="10.5" customHeight="1" x14ac:dyDescent="0.25"/>
    <row r="29" spans="1:26" ht="10.5" customHeight="1" x14ac:dyDescent="0.25"/>
    <row r="30" spans="1:26" ht="10.5" customHeight="1" x14ac:dyDescent="0.25"/>
    <row r="31" spans="1:26" ht="10.5" customHeight="1" x14ac:dyDescent="0.25"/>
    <row r="32" spans="1:26" ht="10.5" customHeight="1" x14ac:dyDescent="0.25"/>
    <row r="33" ht="10.5" customHeight="1" x14ac:dyDescent="0.25"/>
    <row r="34" ht="10.5" customHeight="1" x14ac:dyDescent="0.25"/>
    <row r="35" ht="10.5" customHeight="1" x14ac:dyDescent="0.25"/>
    <row r="36" ht="10.5" customHeight="1" x14ac:dyDescent="0.25"/>
    <row r="37" ht="10.5" customHeight="1" x14ac:dyDescent="0.25"/>
    <row r="38" ht="10.5" customHeight="1" x14ac:dyDescent="0.25"/>
    <row r="39" ht="10.5" customHeight="1" x14ac:dyDescent="0.25"/>
    <row r="40" ht="10.5" customHeight="1" x14ac:dyDescent="0.25"/>
    <row r="41" ht="10.5" customHeight="1" x14ac:dyDescent="0.25"/>
    <row r="42" ht="10.5" customHeight="1" x14ac:dyDescent="0.25"/>
    <row r="43" ht="10.5" customHeight="1" x14ac:dyDescent="0.25"/>
    <row r="44" ht="10.5" customHeight="1" x14ac:dyDescent="0.25"/>
    <row r="45" ht="10.5" customHeight="1" x14ac:dyDescent="0.25"/>
    <row r="46" ht="10.5" customHeight="1" x14ac:dyDescent="0.25"/>
    <row r="47" ht="10.5" customHeight="1" x14ac:dyDescent="0.25"/>
    <row r="48" ht="10.5" customHeight="1" x14ac:dyDescent="0.25"/>
    <row r="49" ht="10.5" customHeight="1" x14ac:dyDescent="0.25"/>
    <row r="50" ht="10.5" customHeight="1" x14ac:dyDescent="0.25"/>
    <row r="51" ht="10.5" customHeight="1" x14ac:dyDescent="0.25"/>
    <row r="52" ht="10.5" customHeight="1" x14ac:dyDescent="0.25"/>
    <row r="53" ht="10.5" customHeight="1" x14ac:dyDescent="0.25"/>
    <row r="54" ht="10.5" customHeight="1" x14ac:dyDescent="0.25"/>
    <row r="55" ht="10.5" customHeight="1" x14ac:dyDescent="0.25"/>
    <row r="56" ht="10.5" customHeight="1" x14ac:dyDescent="0.25"/>
    <row r="57" ht="10.5" customHeight="1" x14ac:dyDescent="0.25"/>
    <row r="58" ht="10.5" customHeight="1" x14ac:dyDescent="0.25"/>
    <row r="59" ht="10.5" customHeight="1" x14ac:dyDescent="0.25"/>
    <row r="60" ht="10.5" customHeight="1" x14ac:dyDescent="0.25"/>
    <row r="61" ht="10.5" customHeight="1" x14ac:dyDescent="0.25"/>
    <row r="62" ht="10.5" customHeight="1" x14ac:dyDescent="0.25"/>
    <row r="63" ht="10.5" customHeight="1" x14ac:dyDescent="0.25"/>
    <row r="64" ht="10.5" customHeight="1" x14ac:dyDescent="0.25"/>
    <row r="65" ht="10.5" customHeight="1" x14ac:dyDescent="0.25"/>
    <row r="66" ht="10.5" customHeight="1" x14ac:dyDescent="0.25"/>
    <row r="67" ht="10.5" customHeight="1" x14ac:dyDescent="0.25"/>
    <row r="68" ht="10.5" customHeight="1" x14ac:dyDescent="0.25"/>
    <row r="69" ht="10.5" customHeight="1" x14ac:dyDescent="0.25"/>
    <row r="70" ht="10.5" customHeight="1" x14ac:dyDescent="0.25"/>
    <row r="71" ht="10.5" customHeight="1" x14ac:dyDescent="0.25"/>
    <row r="72" ht="10.5" customHeight="1" x14ac:dyDescent="0.25"/>
    <row r="73" ht="10.5" customHeight="1" x14ac:dyDescent="0.25"/>
    <row r="74" ht="10.5" customHeight="1" x14ac:dyDescent="0.25"/>
    <row r="75" ht="10.5" customHeight="1" x14ac:dyDescent="0.25"/>
    <row r="76" ht="10.5" customHeight="1" x14ac:dyDescent="0.25"/>
    <row r="77" ht="10.5" customHeight="1" x14ac:dyDescent="0.25"/>
    <row r="78" ht="10.5" customHeight="1" x14ac:dyDescent="0.25"/>
    <row r="79" ht="10.5" customHeight="1" x14ac:dyDescent="0.25"/>
    <row r="80" ht="10.5" customHeight="1" x14ac:dyDescent="0.25"/>
    <row r="81" ht="10.5" customHeight="1" x14ac:dyDescent="0.25"/>
    <row r="82" ht="10.5" customHeight="1" x14ac:dyDescent="0.25"/>
    <row r="83" ht="10.5" customHeight="1" x14ac:dyDescent="0.25"/>
    <row r="84" ht="10.5" customHeight="1" x14ac:dyDescent="0.25"/>
    <row r="85" ht="10.5" customHeight="1" x14ac:dyDescent="0.25"/>
    <row r="86" ht="10.5" customHeight="1" x14ac:dyDescent="0.25"/>
    <row r="87" ht="10.5" customHeight="1" x14ac:dyDescent="0.25"/>
    <row r="88" ht="10.5" customHeight="1" x14ac:dyDescent="0.25"/>
    <row r="89" ht="10.5" customHeight="1" x14ac:dyDescent="0.25"/>
    <row r="90" ht="10.5" customHeight="1" x14ac:dyDescent="0.25"/>
    <row r="91" ht="10.5" customHeight="1" x14ac:dyDescent="0.25"/>
    <row r="92" ht="10.5" customHeight="1" x14ac:dyDescent="0.25"/>
    <row r="93" ht="10.5" customHeight="1" x14ac:dyDescent="0.25"/>
    <row r="94" ht="10.5" customHeight="1" x14ac:dyDescent="0.25"/>
    <row r="95" ht="10.5" customHeight="1" x14ac:dyDescent="0.25"/>
    <row r="96" ht="10.5" customHeight="1" x14ac:dyDescent="0.25"/>
    <row r="97" ht="10.5" customHeight="1" x14ac:dyDescent="0.25"/>
    <row r="98" ht="10.5" customHeight="1" x14ac:dyDescent="0.25"/>
    <row r="99" ht="10.5" customHeight="1" x14ac:dyDescent="0.25"/>
    <row r="100" ht="10.5" customHeight="1" x14ac:dyDescent="0.25"/>
    <row r="101" ht="10.5" customHeight="1" x14ac:dyDescent="0.25"/>
    <row r="102" ht="10.5" customHeight="1" x14ac:dyDescent="0.25"/>
    <row r="103" ht="10.5" customHeight="1" x14ac:dyDescent="0.25"/>
    <row r="104" ht="10.5" customHeight="1" x14ac:dyDescent="0.25"/>
    <row r="105" ht="10.5" customHeight="1" x14ac:dyDescent="0.25"/>
    <row r="106" ht="10.5" customHeight="1" x14ac:dyDescent="0.25"/>
    <row r="107" ht="10.5" customHeight="1" x14ac:dyDescent="0.25"/>
    <row r="108" ht="10.5" customHeight="1" x14ac:dyDescent="0.25"/>
    <row r="109" ht="10.5" customHeight="1" x14ac:dyDescent="0.25"/>
    <row r="110" ht="10.5" customHeight="1" x14ac:dyDescent="0.25"/>
    <row r="111" ht="10.5" customHeight="1" x14ac:dyDescent="0.25"/>
    <row r="112" ht="10.5" customHeight="1" x14ac:dyDescent="0.25"/>
    <row r="113" ht="10.5" customHeight="1" x14ac:dyDescent="0.25"/>
    <row r="114" ht="10.5" customHeight="1" x14ac:dyDescent="0.25"/>
    <row r="115" ht="10.5" customHeight="1" x14ac:dyDescent="0.25"/>
    <row r="116" ht="10.5" customHeight="1" x14ac:dyDescent="0.25"/>
    <row r="117" ht="10.5" customHeight="1" x14ac:dyDescent="0.25"/>
    <row r="118" ht="10.5" customHeight="1" x14ac:dyDescent="0.25"/>
    <row r="119" ht="10.5" customHeight="1" x14ac:dyDescent="0.25"/>
    <row r="120" ht="10.5" customHeight="1" x14ac:dyDescent="0.25"/>
    <row r="121" ht="10.5" customHeight="1" x14ac:dyDescent="0.25"/>
    <row r="122" ht="10.5" customHeight="1" x14ac:dyDescent="0.25"/>
    <row r="123" ht="10.5" customHeight="1" x14ac:dyDescent="0.25"/>
    <row r="124" ht="10.5" customHeight="1" x14ac:dyDescent="0.25"/>
    <row r="125" ht="10.5" customHeight="1" x14ac:dyDescent="0.25"/>
    <row r="126" ht="10.5" customHeight="1" x14ac:dyDescent="0.25"/>
    <row r="127" ht="10.5" customHeight="1" x14ac:dyDescent="0.25"/>
    <row r="128" ht="10.5" customHeight="1" x14ac:dyDescent="0.25"/>
    <row r="129" ht="10.5" customHeight="1" x14ac:dyDescent="0.25"/>
    <row r="130" ht="10.5" customHeight="1" x14ac:dyDescent="0.25"/>
    <row r="131" ht="10.5" customHeight="1" x14ac:dyDescent="0.25"/>
    <row r="132" ht="10.5" customHeight="1" x14ac:dyDescent="0.25"/>
    <row r="133" ht="10.5" customHeight="1" x14ac:dyDescent="0.25"/>
    <row r="134" ht="10.5" customHeight="1" x14ac:dyDescent="0.25"/>
    <row r="135" ht="10.5" customHeight="1" x14ac:dyDescent="0.25"/>
    <row r="136" ht="10.5" customHeight="1" x14ac:dyDescent="0.25"/>
    <row r="137" ht="10.5" customHeight="1" x14ac:dyDescent="0.25"/>
    <row r="138" ht="10.5" customHeight="1" x14ac:dyDescent="0.25"/>
    <row r="139" ht="10.5" customHeight="1" x14ac:dyDescent="0.25"/>
    <row r="140" ht="10.5" customHeight="1" x14ac:dyDescent="0.25"/>
    <row r="141" ht="10.5" customHeight="1" x14ac:dyDescent="0.25"/>
    <row r="142" ht="10.5" customHeight="1" x14ac:dyDescent="0.25"/>
    <row r="143" ht="10.5" customHeight="1" x14ac:dyDescent="0.25"/>
    <row r="144" ht="10.5" customHeight="1" x14ac:dyDescent="0.25"/>
    <row r="145" ht="10.5" customHeight="1" x14ac:dyDescent="0.25"/>
    <row r="146" ht="10.5" customHeight="1" x14ac:dyDescent="0.25"/>
    <row r="147" ht="10.5" customHeight="1" x14ac:dyDescent="0.25"/>
    <row r="148" ht="10.5" customHeight="1" x14ac:dyDescent="0.25"/>
    <row r="149" ht="10.5" customHeight="1" x14ac:dyDescent="0.25"/>
    <row r="150" ht="10.5" customHeight="1" x14ac:dyDescent="0.25"/>
    <row r="151" ht="10.5" customHeight="1" x14ac:dyDescent="0.25"/>
    <row r="152" ht="10.5" customHeight="1" x14ac:dyDescent="0.25"/>
    <row r="153" ht="10.5" customHeight="1" x14ac:dyDescent="0.25"/>
    <row r="154" ht="10.5" customHeight="1" x14ac:dyDescent="0.25"/>
    <row r="155" ht="10.5" customHeight="1" x14ac:dyDescent="0.25"/>
    <row r="156" ht="10.5" customHeight="1" x14ac:dyDescent="0.25"/>
    <row r="157" ht="10.5" customHeight="1" x14ac:dyDescent="0.25"/>
    <row r="158" ht="10.5" customHeight="1" x14ac:dyDescent="0.25"/>
    <row r="159" ht="10.5" customHeight="1" x14ac:dyDescent="0.25"/>
    <row r="160" ht="10.5" customHeight="1" x14ac:dyDescent="0.25"/>
    <row r="161" ht="10.5" customHeight="1" x14ac:dyDescent="0.25"/>
    <row r="162" ht="10.5" customHeight="1" x14ac:dyDescent="0.25"/>
    <row r="163" ht="10.5" customHeight="1" x14ac:dyDescent="0.25"/>
    <row r="164" ht="10.5" customHeight="1" x14ac:dyDescent="0.25"/>
    <row r="165" ht="10.5" customHeight="1" x14ac:dyDescent="0.25"/>
    <row r="166" ht="10.5" customHeight="1" x14ac:dyDescent="0.25"/>
    <row r="167" ht="10.5" customHeight="1" x14ac:dyDescent="0.25"/>
    <row r="168" ht="10.5" customHeight="1" x14ac:dyDescent="0.25"/>
    <row r="169" ht="10.5" customHeight="1" x14ac:dyDescent="0.25"/>
    <row r="170" ht="10.5" customHeight="1" x14ac:dyDescent="0.25"/>
    <row r="171" ht="10.5" customHeight="1" x14ac:dyDescent="0.25"/>
    <row r="172" ht="10.5" customHeight="1" x14ac:dyDescent="0.25"/>
    <row r="173" ht="10.5" customHeight="1" x14ac:dyDescent="0.25"/>
    <row r="174" ht="10.5" customHeight="1" x14ac:dyDescent="0.25"/>
    <row r="175" ht="10.5" customHeight="1" x14ac:dyDescent="0.25"/>
    <row r="176" ht="10.5" customHeight="1" x14ac:dyDescent="0.25"/>
    <row r="177" ht="10.5" customHeight="1" x14ac:dyDescent="0.25"/>
    <row r="178" ht="10.5" customHeight="1" x14ac:dyDescent="0.25"/>
    <row r="179" ht="10.5" customHeight="1" x14ac:dyDescent="0.25"/>
    <row r="180" ht="10.5" customHeight="1" x14ac:dyDescent="0.25"/>
    <row r="181" ht="10.5" customHeight="1" x14ac:dyDescent="0.25"/>
    <row r="182" ht="10.5" customHeight="1" x14ac:dyDescent="0.25"/>
    <row r="183" ht="10.5" customHeight="1" x14ac:dyDescent="0.25"/>
    <row r="184" ht="10.5" customHeight="1" x14ac:dyDescent="0.25"/>
    <row r="185" ht="10.5" customHeight="1" x14ac:dyDescent="0.25"/>
    <row r="186" ht="10.5" customHeight="1" x14ac:dyDescent="0.25"/>
    <row r="187" ht="10.5" customHeight="1" x14ac:dyDescent="0.25"/>
    <row r="188" ht="10.5" customHeight="1" x14ac:dyDescent="0.25"/>
    <row r="189" ht="10.5" customHeight="1" x14ac:dyDescent="0.25"/>
    <row r="190" ht="10.5" customHeight="1" x14ac:dyDescent="0.25"/>
    <row r="191" ht="10.5" customHeight="1" x14ac:dyDescent="0.25"/>
    <row r="192" ht="10.5" customHeight="1" x14ac:dyDescent="0.25"/>
    <row r="193" ht="10.5" customHeight="1" x14ac:dyDescent="0.25"/>
    <row r="194" ht="10.5" customHeight="1" x14ac:dyDescent="0.25"/>
    <row r="195" ht="10.5" customHeight="1" x14ac:dyDescent="0.25"/>
    <row r="196" ht="10.5" customHeight="1" x14ac:dyDescent="0.25"/>
    <row r="197" ht="10.5" customHeight="1" x14ac:dyDescent="0.25"/>
    <row r="198" ht="10.5" customHeight="1" x14ac:dyDescent="0.25"/>
    <row r="199" ht="10.5" customHeight="1" x14ac:dyDescent="0.25"/>
    <row r="200" ht="10.5" customHeight="1" x14ac:dyDescent="0.25"/>
    <row r="201" ht="10.5" customHeight="1" x14ac:dyDescent="0.25"/>
    <row r="202" ht="10.5" customHeight="1" x14ac:dyDescent="0.25"/>
    <row r="203" ht="10.5" customHeight="1" x14ac:dyDescent="0.25"/>
    <row r="204" ht="10.5" customHeight="1" x14ac:dyDescent="0.25"/>
    <row r="205" ht="10.5" customHeight="1" x14ac:dyDescent="0.25"/>
    <row r="206" ht="10.5" customHeight="1" x14ac:dyDescent="0.25"/>
    <row r="207" ht="10.5" customHeight="1" x14ac:dyDescent="0.25"/>
    <row r="208" ht="10.5" customHeight="1" x14ac:dyDescent="0.25"/>
    <row r="209" ht="10.5" customHeight="1" x14ac:dyDescent="0.25"/>
    <row r="210" ht="10.5" customHeight="1" x14ac:dyDescent="0.25"/>
    <row r="211" ht="10.5" customHeight="1" x14ac:dyDescent="0.25"/>
    <row r="212" ht="10.5" customHeight="1" x14ac:dyDescent="0.25"/>
    <row r="213" ht="10.5" customHeight="1" x14ac:dyDescent="0.25"/>
    <row r="214" ht="10.5" customHeight="1" x14ac:dyDescent="0.25"/>
    <row r="215" ht="10.5" customHeight="1" x14ac:dyDescent="0.25"/>
    <row r="216" ht="10.5" customHeight="1" x14ac:dyDescent="0.25"/>
    <row r="217" ht="10.5" customHeight="1" x14ac:dyDescent="0.25"/>
    <row r="218" ht="10.5" customHeight="1" x14ac:dyDescent="0.25"/>
    <row r="219" ht="10.5" customHeight="1" x14ac:dyDescent="0.25"/>
    <row r="220" ht="10.5" customHeight="1" x14ac:dyDescent="0.25"/>
    <row r="221" ht="10.5" customHeight="1" x14ac:dyDescent="0.25"/>
    <row r="222" ht="10.5" customHeight="1" x14ac:dyDescent="0.25"/>
    <row r="223" ht="10.5" customHeight="1" x14ac:dyDescent="0.25"/>
    <row r="224" ht="10.5" customHeight="1" x14ac:dyDescent="0.25"/>
    <row r="225" ht="10.5" customHeight="1" x14ac:dyDescent="0.25"/>
    <row r="226" ht="10.5" customHeight="1" x14ac:dyDescent="0.25"/>
    <row r="227" ht="10.5" customHeight="1" x14ac:dyDescent="0.25"/>
    <row r="228" ht="10.5" customHeight="1" x14ac:dyDescent="0.25"/>
    <row r="229" ht="10.5" customHeight="1" x14ac:dyDescent="0.25"/>
    <row r="230" ht="10.5" customHeight="1" x14ac:dyDescent="0.25"/>
    <row r="231" ht="10.5" customHeight="1" x14ac:dyDescent="0.25"/>
    <row r="232" ht="10.5" customHeight="1" x14ac:dyDescent="0.25"/>
    <row r="233" ht="10.5" customHeight="1" x14ac:dyDescent="0.25"/>
    <row r="234" ht="10.5" customHeight="1" x14ac:dyDescent="0.25"/>
    <row r="235" ht="10.5" customHeight="1" x14ac:dyDescent="0.25"/>
    <row r="236" ht="10.5" customHeight="1" x14ac:dyDescent="0.25"/>
    <row r="237" ht="10.5" customHeight="1" x14ac:dyDescent="0.25"/>
    <row r="238" ht="10.5" customHeight="1" x14ac:dyDescent="0.25"/>
    <row r="239" ht="10.5" customHeight="1" x14ac:dyDescent="0.25"/>
    <row r="240" ht="10.5" customHeight="1" x14ac:dyDescent="0.25"/>
    <row r="241" ht="10.5" customHeight="1" x14ac:dyDescent="0.25"/>
    <row r="242" ht="10.5" customHeight="1" x14ac:dyDescent="0.25"/>
    <row r="243" ht="10.5" customHeight="1" x14ac:dyDescent="0.25"/>
    <row r="244" ht="10.5" customHeight="1" x14ac:dyDescent="0.25"/>
    <row r="245" ht="10.5" customHeight="1" x14ac:dyDescent="0.25"/>
    <row r="246" ht="10.5" customHeight="1" x14ac:dyDescent="0.25"/>
    <row r="247" ht="10.5" customHeight="1" x14ac:dyDescent="0.25"/>
    <row r="248" ht="10.5" customHeight="1" x14ac:dyDescent="0.25"/>
    <row r="249" ht="10.5" customHeight="1" x14ac:dyDescent="0.25"/>
    <row r="250" ht="10.5" customHeight="1" x14ac:dyDescent="0.25"/>
    <row r="251" ht="10.5" customHeight="1" x14ac:dyDescent="0.25"/>
    <row r="252" ht="10.5" customHeight="1" x14ac:dyDescent="0.25"/>
    <row r="253" ht="10.5" customHeight="1" x14ac:dyDescent="0.25"/>
    <row r="254" ht="10.5" customHeight="1" x14ac:dyDescent="0.25"/>
    <row r="255" ht="10.5" customHeight="1" x14ac:dyDescent="0.25"/>
    <row r="256" ht="10.5" customHeight="1" x14ac:dyDescent="0.25"/>
    <row r="257" ht="10.5" customHeight="1" x14ac:dyDescent="0.25"/>
    <row r="258" ht="10.5" customHeight="1" x14ac:dyDescent="0.25"/>
    <row r="259" ht="10.5" customHeight="1" x14ac:dyDescent="0.25"/>
    <row r="260" ht="10.5" customHeight="1" x14ac:dyDescent="0.25"/>
    <row r="261" ht="10.5" customHeight="1" x14ac:dyDescent="0.25"/>
    <row r="262" ht="10.5" customHeight="1" x14ac:dyDescent="0.25"/>
    <row r="263" ht="10.5" customHeight="1" x14ac:dyDescent="0.25"/>
    <row r="264" ht="10.5" customHeight="1" x14ac:dyDescent="0.25"/>
    <row r="265" ht="10.5" customHeight="1" x14ac:dyDescent="0.25"/>
    <row r="266" ht="10.5" customHeight="1" x14ac:dyDescent="0.25"/>
    <row r="267" ht="10.5" customHeight="1" x14ac:dyDescent="0.25"/>
    <row r="268" ht="10.5" customHeight="1" x14ac:dyDescent="0.25"/>
    <row r="269" ht="10.5" customHeight="1" x14ac:dyDescent="0.25"/>
    <row r="270" ht="10.5" customHeight="1" x14ac:dyDescent="0.25"/>
    <row r="271" ht="10.5" customHeight="1" x14ac:dyDescent="0.25"/>
    <row r="272" ht="10.5" customHeight="1" x14ac:dyDescent="0.25"/>
    <row r="273" ht="10.5" customHeight="1" x14ac:dyDescent="0.25"/>
    <row r="274" ht="10.5" customHeight="1" x14ac:dyDescent="0.25"/>
    <row r="275" ht="10.5" customHeight="1" x14ac:dyDescent="0.25"/>
    <row r="276" ht="10.5" customHeight="1" x14ac:dyDescent="0.25"/>
    <row r="277" ht="10.5" customHeight="1" x14ac:dyDescent="0.25"/>
    <row r="278" ht="10.5" customHeight="1" x14ac:dyDescent="0.25"/>
    <row r="279" ht="10.5" customHeight="1" x14ac:dyDescent="0.25"/>
    <row r="280" ht="10.5" customHeight="1" x14ac:dyDescent="0.25"/>
    <row r="281" ht="10.5" customHeight="1" x14ac:dyDescent="0.25"/>
    <row r="282" ht="10.5" customHeight="1" x14ac:dyDescent="0.25"/>
    <row r="283" ht="10.5" customHeight="1" x14ac:dyDescent="0.25"/>
    <row r="284" ht="10.5" customHeight="1" x14ac:dyDescent="0.25"/>
    <row r="285" ht="10.5" customHeight="1" x14ac:dyDescent="0.25"/>
    <row r="286" ht="10.5" customHeight="1" x14ac:dyDescent="0.25"/>
    <row r="287" ht="10.5" customHeight="1" x14ac:dyDescent="0.25"/>
    <row r="288" ht="10.5" customHeight="1" x14ac:dyDescent="0.25"/>
    <row r="289" ht="10.5" customHeight="1" x14ac:dyDescent="0.25"/>
    <row r="290" ht="10.5" customHeight="1" x14ac:dyDescent="0.25"/>
    <row r="291" ht="10.5" customHeight="1" x14ac:dyDescent="0.25"/>
    <row r="292" ht="10.5" customHeight="1" x14ac:dyDescent="0.25"/>
    <row r="293" ht="10.5" customHeight="1" x14ac:dyDescent="0.25"/>
    <row r="294" ht="10.5" customHeight="1" x14ac:dyDescent="0.25"/>
    <row r="295" ht="10.5" customHeight="1" x14ac:dyDescent="0.25"/>
    <row r="296" ht="10.5" customHeight="1" x14ac:dyDescent="0.25"/>
    <row r="297" ht="10.5" customHeight="1" x14ac:dyDescent="0.25"/>
    <row r="298" ht="10.5" customHeight="1" x14ac:dyDescent="0.25"/>
    <row r="299" ht="10.5" customHeight="1" x14ac:dyDescent="0.25"/>
    <row r="300" ht="10.5" customHeight="1" x14ac:dyDescent="0.25"/>
    <row r="301" ht="10.5" customHeight="1" x14ac:dyDescent="0.25"/>
    <row r="302" ht="10.5" customHeight="1" x14ac:dyDescent="0.25"/>
    <row r="303" ht="10.5" customHeight="1" x14ac:dyDescent="0.25"/>
    <row r="304" ht="10.5" customHeight="1" x14ac:dyDescent="0.25"/>
    <row r="305" ht="10.5" customHeight="1" x14ac:dyDescent="0.25"/>
    <row r="306" ht="10.5" customHeight="1" x14ac:dyDescent="0.25"/>
    <row r="307" ht="10.5" customHeight="1" x14ac:dyDescent="0.25"/>
    <row r="308" ht="10.5" customHeight="1" x14ac:dyDescent="0.25"/>
    <row r="309" ht="10.5" customHeight="1" x14ac:dyDescent="0.25"/>
    <row r="310" ht="10.5" customHeight="1" x14ac:dyDescent="0.25"/>
    <row r="311" ht="10.5" customHeight="1" x14ac:dyDescent="0.25"/>
    <row r="312" ht="10.5" customHeight="1" x14ac:dyDescent="0.25"/>
    <row r="313" ht="10.5" customHeight="1" x14ac:dyDescent="0.25"/>
    <row r="314" ht="10.5" customHeight="1" x14ac:dyDescent="0.25"/>
    <row r="315" ht="10.5" customHeight="1" x14ac:dyDescent="0.25"/>
    <row r="316" ht="10.5" customHeight="1" x14ac:dyDescent="0.25"/>
    <row r="317" ht="10.5" customHeight="1" x14ac:dyDescent="0.25"/>
    <row r="318" ht="10.5" customHeight="1" x14ac:dyDescent="0.25"/>
    <row r="319" ht="10.5" customHeight="1" x14ac:dyDescent="0.25"/>
    <row r="320" ht="10.5" customHeight="1" x14ac:dyDescent="0.25"/>
    <row r="321" ht="10.5" customHeight="1" x14ac:dyDescent="0.25"/>
    <row r="322" ht="10.5" customHeight="1" x14ac:dyDescent="0.25"/>
    <row r="323" ht="10.5" customHeight="1" x14ac:dyDescent="0.25"/>
    <row r="324" ht="10.5" customHeight="1" x14ac:dyDescent="0.25"/>
    <row r="325" ht="10.5" customHeight="1" x14ac:dyDescent="0.25"/>
    <row r="326" ht="10.5" customHeight="1" x14ac:dyDescent="0.25"/>
    <row r="327" ht="10.5" customHeight="1" x14ac:dyDescent="0.25"/>
    <row r="328" ht="10.5" customHeight="1" x14ac:dyDescent="0.25"/>
    <row r="329" ht="10.5" customHeight="1" x14ac:dyDescent="0.25"/>
    <row r="330" ht="10.5" customHeight="1" x14ac:dyDescent="0.25"/>
    <row r="331" ht="10.5" customHeight="1" x14ac:dyDescent="0.25"/>
    <row r="332" ht="10.5" customHeight="1" x14ac:dyDescent="0.25"/>
    <row r="333" ht="10.5" customHeight="1" x14ac:dyDescent="0.25"/>
    <row r="334" ht="10.5" customHeight="1" x14ac:dyDescent="0.25"/>
    <row r="335" ht="10.5" customHeight="1" x14ac:dyDescent="0.25"/>
    <row r="336" ht="10.5" customHeight="1" x14ac:dyDescent="0.25"/>
    <row r="337" ht="10.5" customHeight="1" x14ac:dyDescent="0.25"/>
    <row r="338" ht="10.5" customHeight="1" x14ac:dyDescent="0.25"/>
    <row r="339" ht="10.5" customHeight="1" x14ac:dyDescent="0.25"/>
    <row r="340" ht="10.5" customHeight="1" x14ac:dyDescent="0.25"/>
    <row r="341" ht="10.5" customHeight="1" x14ac:dyDescent="0.25"/>
    <row r="342" ht="10.5" customHeight="1" x14ac:dyDescent="0.25"/>
    <row r="343" ht="10.5" customHeight="1" x14ac:dyDescent="0.25"/>
    <row r="344" ht="10.5" customHeight="1" x14ac:dyDescent="0.25"/>
    <row r="345" ht="10.5" customHeight="1" x14ac:dyDescent="0.25"/>
    <row r="346" ht="10.5" customHeight="1" x14ac:dyDescent="0.25"/>
    <row r="347" ht="10.5" customHeight="1" x14ac:dyDescent="0.25"/>
    <row r="348" ht="10.5" customHeight="1" x14ac:dyDescent="0.25"/>
    <row r="349" ht="10.5" customHeight="1" x14ac:dyDescent="0.25"/>
    <row r="350" ht="10.5" customHeight="1" x14ac:dyDescent="0.25"/>
    <row r="351" ht="10.5" customHeight="1" x14ac:dyDescent="0.25"/>
    <row r="352" ht="10.5" customHeight="1" x14ac:dyDescent="0.25"/>
    <row r="353" ht="10.5" customHeight="1" x14ac:dyDescent="0.25"/>
    <row r="354" ht="10.5" customHeight="1" x14ac:dyDescent="0.25"/>
    <row r="355" ht="10.5" customHeight="1" x14ac:dyDescent="0.25"/>
    <row r="356" ht="10.5" customHeight="1" x14ac:dyDescent="0.25"/>
    <row r="357" ht="10.5" customHeight="1" x14ac:dyDescent="0.25"/>
    <row r="358" ht="10.5" customHeight="1" x14ac:dyDescent="0.25"/>
    <row r="359" ht="10.5" customHeight="1" x14ac:dyDescent="0.25"/>
    <row r="360" ht="10.5" customHeight="1" x14ac:dyDescent="0.25"/>
    <row r="361" ht="10.5" customHeight="1" x14ac:dyDescent="0.25"/>
    <row r="362" ht="10.5" customHeight="1" x14ac:dyDescent="0.25"/>
    <row r="363" ht="10.5" customHeight="1" x14ac:dyDescent="0.25"/>
    <row r="364" ht="10.5" customHeight="1" x14ac:dyDescent="0.25"/>
    <row r="365" ht="10.5" customHeight="1" x14ac:dyDescent="0.25"/>
    <row r="366" ht="10.5" customHeight="1" x14ac:dyDescent="0.25"/>
    <row r="367" ht="10.5" customHeight="1" x14ac:dyDescent="0.25"/>
    <row r="368" ht="10.5" customHeight="1" x14ac:dyDescent="0.25"/>
    <row r="369" ht="10.5" customHeight="1" x14ac:dyDescent="0.25"/>
    <row r="370" ht="10.5" customHeight="1" x14ac:dyDescent="0.25"/>
    <row r="371" ht="10.5" customHeight="1" x14ac:dyDescent="0.25"/>
    <row r="372" ht="10.5" customHeight="1" x14ac:dyDescent="0.25"/>
    <row r="373" ht="10.5" customHeight="1" x14ac:dyDescent="0.25"/>
    <row r="374" ht="10.5" customHeight="1" x14ac:dyDescent="0.25"/>
    <row r="375" ht="10.5" customHeight="1" x14ac:dyDescent="0.25"/>
    <row r="376" ht="10.5" customHeight="1" x14ac:dyDescent="0.25"/>
    <row r="377" ht="10.5" customHeight="1" x14ac:dyDescent="0.25"/>
    <row r="378" ht="10.5" customHeight="1" x14ac:dyDescent="0.25"/>
    <row r="379" ht="10.5" customHeight="1" x14ac:dyDescent="0.25"/>
    <row r="380" ht="10.5" customHeight="1" x14ac:dyDescent="0.25"/>
    <row r="381" ht="10.5" customHeight="1" x14ac:dyDescent="0.25"/>
    <row r="382" ht="10.5" customHeight="1" x14ac:dyDescent="0.25"/>
    <row r="383" ht="10.5" customHeight="1" x14ac:dyDescent="0.25"/>
    <row r="384" ht="10.5" customHeight="1" x14ac:dyDescent="0.25"/>
    <row r="385" ht="10.5" customHeight="1" x14ac:dyDescent="0.25"/>
    <row r="386" ht="10.5" customHeight="1" x14ac:dyDescent="0.25"/>
    <row r="387" ht="10.5" customHeight="1" x14ac:dyDescent="0.25"/>
    <row r="388" ht="10.5" customHeight="1" x14ac:dyDescent="0.25"/>
    <row r="389" ht="10.5" customHeight="1" x14ac:dyDescent="0.25"/>
    <row r="390" ht="10.5" customHeight="1" x14ac:dyDescent="0.25"/>
    <row r="391" ht="10.5" customHeight="1" x14ac:dyDescent="0.25"/>
    <row r="392" ht="10.5" customHeight="1" x14ac:dyDescent="0.25"/>
    <row r="393" ht="10.5" customHeight="1" x14ac:dyDescent="0.25"/>
    <row r="394" ht="10.5" customHeight="1" x14ac:dyDescent="0.25"/>
    <row r="395" ht="10.5" customHeight="1" x14ac:dyDescent="0.25"/>
    <row r="396" ht="10.5" customHeight="1" x14ac:dyDescent="0.25"/>
    <row r="397" ht="10.5" customHeight="1" x14ac:dyDescent="0.25"/>
    <row r="398" ht="10.5" customHeight="1" x14ac:dyDescent="0.25"/>
    <row r="399" ht="10.5" customHeight="1" x14ac:dyDescent="0.25"/>
    <row r="400" ht="10.5" customHeight="1" x14ac:dyDescent="0.25"/>
    <row r="401" ht="10.5" customHeight="1" x14ac:dyDescent="0.25"/>
    <row r="402" ht="10.5" customHeight="1" x14ac:dyDescent="0.25"/>
    <row r="403" ht="10.5" customHeight="1" x14ac:dyDescent="0.25"/>
    <row r="404" ht="10.5" customHeight="1" x14ac:dyDescent="0.25"/>
    <row r="405" ht="10.5" customHeight="1" x14ac:dyDescent="0.25"/>
    <row r="406" ht="10.5" customHeight="1" x14ac:dyDescent="0.25"/>
    <row r="407" ht="10.5" customHeight="1" x14ac:dyDescent="0.25"/>
    <row r="408" ht="10.5" customHeight="1" x14ac:dyDescent="0.25"/>
    <row r="409" ht="10.5" customHeight="1" x14ac:dyDescent="0.25"/>
    <row r="410" ht="10.5" customHeight="1" x14ac:dyDescent="0.25"/>
    <row r="411" ht="10.5" customHeight="1" x14ac:dyDescent="0.25"/>
    <row r="412" ht="10.5" customHeight="1" x14ac:dyDescent="0.25"/>
    <row r="413" ht="10.5" customHeight="1" x14ac:dyDescent="0.25"/>
    <row r="414" ht="10.5" customHeight="1" x14ac:dyDescent="0.25"/>
    <row r="415" ht="10.5" customHeight="1" x14ac:dyDescent="0.25"/>
    <row r="416" ht="10.5" customHeight="1" x14ac:dyDescent="0.25"/>
    <row r="417" ht="10.5" customHeight="1" x14ac:dyDescent="0.25"/>
    <row r="418" ht="10.5" customHeight="1" x14ac:dyDescent="0.25"/>
    <row r="419" ht="10.5" customHeight="1" x14ac:dyDescent="0.25"/>
    <row r="420" ht="10.5" customHeight="1" x14ac:dyDescent="0.25"/>
    <row r="421" ht="10.5" customHeight="1" x14ac:dyDescent="0.25"/>
    <row r="422" ht="10.5" customHeight="1" x14ac:dyDescent="0.25"/>
    <row r="423" ht="10.5" customHeight="1" x14ac:dyDescent="0.25"/>
    <row r="424" ht="10.5" customHeight="1" x14ac:dyDescent="0.25"/>
    <row r="425" ht="10.5" customHeight="1" x14ac:dyDescent="0.25"/>
    <row r="426" ht="10.5" customHeight="1" x14ac:dyDescent="0.25"/>
    <row r="427" ht="10.5" customHeight="1" x14ac:dyDescent="0.25"/>
    <row r="428" ht="10.5" customHeight="1" x14ac:dyDescent="0.25"/>
    <row r="429" ht="10.5" customHeight="1" x14ac:dyDescent="0.25"/>
    <row r="430" ht="10.5" customHeight="1" x14ac:dyDescent="0.25"/>
    <row r="431" ht="10.5" customHeight="1" x14ac:dyDescent="0.25"/>
    <row r="432" ht="10.5" customHeight="1" x14ac:dyDescent="0.25"/>
    <row r="433" ht="10.5" customHeight="1" x14ac:dyDescent="0.25"/>
    <row r="434" ht="10.5" customHeight="1" x14ac:dyDescent="0.25"/>
    <row r="435" ht="10.5" customHeight="1" x14ac:dyDescent="0.25"/>
    <row r="436" ht="10.5" customHeight="1" x14ac:dyDescent="0.25"/>
    <row r="437" ht="10.5" customHeight="1" x14ac:dyDescent="0.25"/>
    <row r="438" ht="10.5" customHeight="1" x14ac:dyDescent="0.25"/>
    <row r="439" ht="10.5" customHeight="1" x14ac:dyDescent="0.25"/>
    <row r="440" ht="10.5" customHeight="1" x14ac:dyDescent="0.25"/>
    <row r="441" ht="10.5" customHeight="1" x14ac:dyDescent="0.25"/>
    <row r="442" ht="10.5" customHeight="1" x14ac:dyDescent="0.25"/>
    <row r="443" ht="10.5" customHeight="1" x14ac:dyDescent="0.25"/>
    <row r="444" ht="10.5" customHeight="1" x14ac:dyDescent="0.25"/>
    <row r="445" ht="10.5" customHeight="1" x14ac:dyDescent="0.25"/>
    <row r="446" ht="10.5" customHeight="1" x14ac:dyDescent="0.25"/>
    <row r="447" ht="10.5" customHeight="1" x14ac:dyDescent="0.25"/>
    <row r="448" ht="10.5" customHeight="1" x14ac:dyDescent="0.25"/>
    <row r="449" ht="10.5" customHeight="1" x14ac:dyDescent="0.25"/>
    <row r="450" ht="10.5" customHeight="1" x14ac:dyDescent="0.25"/>
    <row r="451" ht="10.5" customHeight="1" x14ac:dyDescent="0.25"/>
    <row r="452" ht="10.5" customHeight="1" x14ac:dyDescent="0.25"/>
    <row r="453" ht="10.5" customHeight="1" x14ac:dyDescent="0.25"/>
    <row r="454" ht="10.5" customHeight="1" x14ac:dyDescent="0.25"/>
    <row r="455" ht="10.5" customHeight="1" x14ac:dyDescent="0.25"/>
    <row r="456" ht="10.5" customHeight="1" x14ac:dyDescent="0.25"/>
    <row r="457" ht="10.5" customHeight="1" x14ac:dyDescent="0.25"/>
    <row r="458" ht="10.5" customHeight="1" x14ac:dyDescent="0.25"/>
    <row r="459" ht="10.5" customHeight="1" x14ac:dyDescent="0.25"/>
    <row r="460" ht="10.5" customHeight="1" x14ac:dyDescent="0.25"/>
    <row r="461" ht="10.5" customHeight="1" x14ac:dyDescent="0.25"/>
    <row r="462" ht="10.5" customHeight="1" x14ac:dyDescent="0.25"/>
    <row r="463" ht="10.5" customHeight="1" x14ac:dyDescent="0.25"/>
    <row r="464" ht="10.5" customHeight="1" x14ac:dyDescent="0.25"/>
    <row r="465" ht="10.5" customHeight="1" x14ac:dyDescent="0.25"/>
    <row r="466" ht="10.5" customHeight="1" x14ac:dyDescent="0.25"/>
    <row r="467" ht="10.5" customHeight="1" x14ac:dyDescent="0.25"/>
    <row r="468" ht="10.5" customHeight="1" x14ac:dyDescent="0.25"/>
    <row r="469" ht="10.5" customHeight="1" x14ac:dyDescent="0.25"/>
    <row r="470" ht="10.5" customHeight="1" x14ac:dyDescent="0.25"/>
    <row r="471" ht="10.5" customHeight="1" x14ac:dyDescent="0.25"/>
    <row r="472" ht="10.5" customHeight="1" x14ac:dyDescent="0.25"/>
    <row r="473" ht="10.5" customHeight="1" x14ac:dyDescent="0.25"/>
    <row r="474" ht="10.5" customHeight="1" x14ac:dyDescent="0.25"/>
    <row r="475" ht="10.5" customHeight="1" x14ac:dyDescent="0.25"/>
    <row r="476" ht="10.5" customHeight="1" x14ac:dyDescent="0.25"/>
    <row r="477" ht="10.5" customHeight="1" x14ac:dyDescent="0.25"/>
    <row r="478" ht="10.5" customHeight="1" x14ac:dyDescent="0.25"/>
    <row r="479" ht="10.5" customHeight="1" x14ac:dyDescent="0.25"/>
    <row r="480" ht="10.5" customHeight="1" x14ac:dyDescent="0.25"/>
    <row r="481" ht="10.5" customHeight="1" x14ac:dyDescent="0.25"/>
    <row r="482" ht="10.5" customHeight="1" x14ac:dyDescent="0.25"/>
    <row r="483" ht="10.5" customHeight="1" x14ac:dyDescent="0.25"/>
    <row r="484" ht="10.5" customHeight="1" x14ac:dyDescent="0.25"/>
    <row r="485" ht="10.5" customHeight="1" x14ac:dyDescent="0.25"/>
    <row r="486" ht="10.5" customHeight="1" x14ac:dyDescent="0.25"/>
    <row r="487" ht="10.5" customHeight="1" x14ac:dyDescent="0.25"/>
    <row r="488" ht="10.5" customHeight="1" x14ac:dyDescent="0.25"/>
    <row r="489" ht="10.5" customHeight="1" x14ac:dyDescent="0.25"/>
    <row r="490" ht="10.5" customHeight="1" x14ac:dyDescent="0.25"/>
    <row r="491" ht="10.5" customHeight="1" x14ac:dyDescent="0.25"/>
    <row r="492" ht="10.5" customHeight="1" x14ac:dyDescent="0.25"/>
    <row r="493" ht="10.5" customHeight="1" x14ac:dyDescent="0.25"/>
    <row r="494" ht="10.5" customHeight="1" x14ac:dyDescent="0.25"/>
    <row r="495" ht="10.5" customHeight="1" x14ac:dyDescent="0.25"/>
    <row r="496" ht="10.5" customHeight="1" x14ac:dyDescent="0.25"/>
    <row r="497" ht="10.5" customHeight="1" x14ac:dyDescent="0.25"/>
    <row r="498" ht="10.5" customHeight="1" x14ac:dyDescent="0.25"/>
    <row r="499" ht="10.5" customHeight="1" x14ac:dyDescent="0.25"/>
    <row r="500" ht="10.5" customHeight="1" x14ac:dyDescent="0.25"/>
    <row r="501" ht="10.5" customHeight="1" x14ac:dyDescent="0.25"/>
    <row r="502" ht="10.5" customHeight="1" x14ac:dyDescent="0.25"/>
    <row r="503" ht="10.5" customHeight="1" x14ac:dyDescent="0.25"/>
    <row r="504" ht="10.5" customHeight="1" x14ac:dyDescent="0.25"/>
    <row r="505" ht="10.5" customHeight="1" x14ac:dyDescent="0.25"/>
    <row r="506" ht="10.5" customHeight="1" x14ac:dyDescent="0.25"/>
    <row r="507" ht="10.5" customHeight="1" x14ac:dyDescent="0.25"/>
    <row r="508" ht="10.5" customHeight="1" x14ac:dyDescent="0.25"/>
    <row r="509" ht="10.5" customHeight="1" x14ac:dyDescent="0.25"/>
    <row r="510" ht="10.5" customHeight="1" x14ac:dyDescent="0.25"/>
    <row r="511" ht="10.5" customHeight="1" x14ac:dyDescent="0.25"/>
    <row r="512" ht="10.5" customHeight="1" x14ac:dyDescent="0.25"/>
    <row r="513" ht="10.5" customHeight="1" x14ac:dyDescent="0.25"/>
    <row r="514" ht="10.5" customHeight="1" x14ac:dyDescent="0.25"/>
    <row r="515" ht="10.5" customHeight="1" x14ac:dyDescent="0.25"/>
    <row r="516" ht="10.5" customHeight="1" x14ac:dyDescent="0.25"/>
    <row r="517" ht="10.5" customHeight="1" x14ac:dyDescent="0.25"/>
    <row r="518" ht="10.5" customHeight="1" x14ac:dyDescent="0.25"/>
    <row r="519" ht="10.5" customHeight="1" x14ac:dyDescent="0.25"/>
    <row r="520" ht="10.5" customHeight="1" x14ac:dyDescent="0.25"/>
    <row r="521" ht="10.5" customHeight="1" x14ac:dyDescent="0.25"/>
    <row r="522" ht="10.5" customHeight="1" x14ac:dyDescent="0.25"/>
    <row r="523" ht="10.5" customHeight="1" x14ac:dyDescent="0.25"/>
    <row r="524" ht="10.5" customHeight="1" x14ac:dyDescent="0.25"/>
    <row r="525" ht="10.5" customHeight="1" x14ac:dyDescent="0.25"/>
    <row r="526" ht="10.5" customHeight="1" x14ac:dyDescent="0.25"/>
    <row r="527" ht="10.5" customHeight="1" x14ac:dyDescent="0.25"/>
    <row r="528" ht="10.5" customHeight="1" x14ac:dyDescent="0.25"/>
    <row r="529" ht="10.5" customHeight="1" x14ac:dyDescent="0.25"/>
    <row r="530" ht="10.5" customHeight="1" x14ac:dyDescent="0.25"/>
    <row r="531" ht="10.5" customHeight="1" x14ac:dyDescent="0.25"/>
    <row r="532" ht="10.5" customHeight="1" x14ac:dyDescent="0.25"/>
    <row r="533" ht="10.5" customHeight="1" x14ac:dyDescent="0.25"/>
    <row r="534" ht="10.5" customHeight="1" x14ac:dyDescent="0.25"/>
    <row r="535" ht="10.5" customHeight="1" x14ac:dyDescent="0.25"/>
    <row r="536" ht="10.5" customHeight="1" x14ac:dyDescent="0.25"/>
    <row r="537" ht="10.5" customHeight="1" x14ac:dyDescent="0.25"/>
    <row r="538" ht="10.5" customHeight="1" x14ac:dyDescent="0.25"/>
    <row r="539" ht="10.5" customHeight="1" x14ac:dyDescent="0.25"/>
    <row r="540" ht="10.5" customHeight="1" x14ac:dyDescent="0.25"/>
    <row r="541" ht="10.5" customHeight="1" x14ac:dyDescent="0.25"/>
    <row r="542" ht="10.5" customHeight="1" x14ac:dyDescent="0.25"/>
    <row r="543" ht="10.5" customHeight="1" x14ac:dyDescent="0.25"/>
    <row r="544" ht="10.5" customHeight="1" x14ac:dyDescent="0.25"/>
    <row r="545" ht="10.5" customHeight="1" x14ac:dyDescent="0.25"/>
    <row r="546" ht="10.5" customHeight="1" x14ac:dyDescent="0.25"/>
    <row r="547" ht="10.5" customHeight="1" x14ac:dyDescent="0.25"/>
    <row r="548" ht="10.5" customHeight="1" x14ac:dyDescent="0.25"/>
    <row r="549" ht="10.5" customHeight="1" x14ac:dyDescent="0.25"/>
    <row r="550" ht="10.5" customHeight="1" x14ac:dyDescent="0.25"/>
    <row r="551" ht="10.5" customHeight="1" x14ac:dyDescent="0.25"/>
    <row r="552" ht="10.5" customHeight="1" x14ac:dyDescent="0.25"/>
    <row r="553" ht="10.5" customHeight="1" x14ac:dyDescent="0.25"/>
    <row r="554" ht="10.5" customHeight="1" x14ac:dyDescent="0.25"/>
    <row r="555" ht="10.5" customHeight="1" x14ac:dyDescent="0.25"/>
    <row r="556" ht="10.5" customHeight="1" x14ac:dyDescent="0.25"/>
    <row r="557" ht="10.5" customHeight="1" x14ac:dyDescent="0.25"/>
    <row r="558" ht="10.5" customHeight="1" x14ac:dyDescent="0.25"/>
    <row r="559" ht="10.5" customHeight="1" x14ac:dyDescent="0.25"/>
    <row r="560" ht="10.5" customHeight="1" x14ac:dyDescent="0.25"/>
    <row r="561" ht="10.5" customHeight="1" x14ac:dyDescent="0.25"/>
    <row r="562" ht="10.5" customHeight="1" x14ac:dyDescent="0.25"/>
    <row r="563" ht="10.5" customHeight="1" x14ac:dyDescent="0.25"/>
    <row r="564" ht="10.5" customHeight="1" x14ac:dyDescent="0.25"/>
    <row r="565" ht="10.5" customHeight="1" x14ac:dyDescent="0.25"/>
    <row r="566" ht="10.5" customHeight="1" x14ac:dyDescent="0.25"/>
    <row r="567" ht="10.5" customHeight="1" x14ac:dyDescent="0.25"/>
    <row r="568" ht="10.5" customHeight="1" x14ac:dyDescent="0.25"/>
    <row r="569" ht="10.5" customHeight="1" x14ac:dyDescent="0.25"/>
    <row r="570" ht="10.5" customHeight="1" x14ac:dyDescent="0.25"/>
    <row r="571" ht="10.5" customHeight="1" x14ac:dyDescent="0.25"/>
    <row r="572" ht="10.5" customHeight="1" x14ac:dyDescent="0.25"/>
    <row r="573" ht="10.5" customHeight="1" x14ac:dyDescent="0.25"/>
    <row r="574" ht="10.5" customHeight="1" x14ac:dyDescent="0.25"/>
    <row r="575" ht="10.5" customHeight="1" x14ac:dyDescent="0.25"/>
    <row r="576" ht="10.5" customHeight="1" x14ac:dyDescent="0.25"/>
    <row r="577" ht="10.5" customHeight="1" x14ac:dyDescent="0.25"/>
    <row r="578" ht="10.5" customHeight="1" x14ac:dyDescent="0.25"/>
    <row r="579" ht="10.5" customHeight="1" x14ac:dyDescent="0.25"/>
    <row r="580" ht="10.5" customHeight="1" x14ac:dyDescent="0.25"/>
    <row r="581" ht="10.5" customHeight="1" x14ac:dyDescent="0.25"/>
    <row r="582" ht="10.5" customHeight="1" x14ac:dyDescent="0.25"/>
    <row r="583" ht="10.5" customHeight="1" x14ac:dyDescent="0.25"/>
    <row r="584" ht="10.5" customHeight="1" x14ac:dyDescent="0.25"/>
    <row r="585" ht="10.5" customHeight="1" x14ac:dyDescent="0.25"/>
    <row r="586" ht="10.5" customHeight="1" x14ac:dyDescent="0.25"/>
    <row r="587" ht="10.5" customHeight="1" x14ac:dyDescent="0.25"/>
    <row r="588" ht="10.5" customHeight="1" x14ac:dyDescent="0.25"/>
    <row r="589" ht="10.5" customHeight="1" x14ac:dyDescent="0.25"/>
    <row r="590" ht="10.5" customHeight="1" x14ac:dyDescent="0.25"/>
    <row r="591" ht="10.5" customHeight="1" x14ac:dyDescent="0.25"/>
    <row r="592" ht="10.5" customHeight="1" x14ac:dyDescent="0.25"/>
    <row r="593" ht="10.5" customHeight="1" x14ac:dyDescent="0.25"/>
    <row r="594" ht="10.5" customHeight="1" x14ac:dyDescent="0.25"/>
    <row r="595" ht="10.5" customHeight="1" x14ac:dyDescent="0.25"/>
    <row r="596" ht="10.5" customHeight="1" x14ac:dyDescent="0.25"/>
    <row r="597" ht="10.5" customHeight="1" x14ac:dyDescent="0.25"/>
    <row r="598" ht="10.5" customHeight="1" x14ac:dyDescent="0.25"/>
    <row r="599" ht="10.5" customHeight="1" x14ac:dyDescent="0.25"/>
    <row r="600" ht="10.5" customHeight="1" x14ac:dyDescent="0.25"/>
    <row r="601" ht="10.5" customHeight="1" x14ac:dyDescent="0.25"/>
    <row r="602" ht="10.5" customHeight="1" x14ac:dyDescent="0.25"/>
    <row r="603" ht="10.5" customHeight="1" x14ac:dyDescent="0.25"/>
    <row r="604" ht="10.5" customHeight="1" x14ac:dyDescent="0.25"/>
    <row r="605" ht="10.5" customHeight="1" x14ac:dyDescent="0.25"/>
    <row r="606" ht="10.5" customHeight="1" x14ac:dyDescent="0.25"/>
    <row r="607" ht="10.5" customHeight="1" x14ac:dyDescent="0.25"/>
    <row r="608" ht="10.5" customHeight="1" x14ac:dyDescent="0.25"/>
    <row r="609" ht="10.5" customHeight="1" x14ac:dyDescent="0.25"/>
    <row r="610" ht="10.5" customHeight="1" x14ac:dyDescent="0.25"/>
    <row r="611" ht="10.5" customHeight="1" x14ac:dyDescent="0.25"/>
    <row r="612" ht="10.5" customHeight="1" x14ac:dyDescent="0.25"/>
    <row r="613" ht="10.5" customHeight="1" x14ac:dyDescent="0.25"/>
    <row r="614" ht="10.5" customHeight="1" x14ac:dyDescent="0.25"/>
    <row r="615" ht="10.5" customHeight="1" x14ac:dyDescent="0.25"/>
    <row r="616" ht="10.5" customHeight="1" x14ac:dyDescent="0.25"/>
    <row r="617" ht="10.5" customHeight="1" x14ac:dyDescent="0.25"/>
    <row r="618" ht="10.5" customHeight="1" x14ac:dyDescent="0.25"/>
    <row r="619" ht="10.5" customHeight="1" x14ac:dyDescent="0.25"/>
    <row r="620" ht="10.5" customHeight="1" x14ac:dyDescent="0.25"/>
    <row r="621" ht="10.5" customHeight="1" x14ac:dyDescent="0.25"/>
    <row r="622" ht="10.5" customHeight="1" x14ac:dyDescent="0.25"/>
    <row r="623" ht="10.5" customHeight="1" x14ac:dyDescent="0.25"/>
    <row r="624" ht="10.5" customHeight="1" x14ac:dyDescent="0.25"/>
    <row r="625" ht="10.5" customHeight="1" x14ac:dyDescent="0.25"/>
    <row r="626" ht="10.5" customHeight="1" x14ac:dyDescent="0.25"/>
    <row r="627" ht="10.5" customHeight="1" x14ac:dyDescent="0.25"/>
    <row r="628" ht="10.5" customHeight="1" x14ac:dyDescent="0.25"/>
    <row r="629" ht="10.5" customHeight="1" x14ac:dyDescent="0.25"/>
    <row r="630" ht="10.5" customHeight="1" x14ac:dyDescent="0.25"/>
    <row r="631" ht="10.5" customHeight="1" x14ac:dyDescent="0.25"/>
    <row r="632" ht="10.5" customHeight="1" x14ac:dyDescent="0.25"/>
    <row r="633" ht="10.5" customHeight="1" x14ac:dyDescent="0.25"/>
    <row r="634" ht="10.5" customHeight="1" x14ac:dyDescent="0.25"/>
    <row r="635" ht="10.5" customHeight="1" x14ac:dyDescent="0.25"/>
    <row r="636" ht="10.5" customHeight="1" x14ac:dyDescent="0.25"/>
    <row r="637" ht="10.5" customHeight="1" x14ac:dyDescent="0.25"/>
    <row r="638" ht="10.5" customHeight="1" x14ac:dyDescent="0.25"/>
    <row r="639" ht="10.5" customHeight="1" x14ac:dyDescent="0.25"/>
    <row r="640" ht="10.5" customHeight="1" x14ac:dyDescent="0.25"/>
    <row r="641" ht="10.5" customHeight="1" x14ac:dyDescent="0.25"/>
    <row r="642" ht="10.5" customHeight="1" x14ac:dyDescent="0.25"/>
    <row r="643" ht="10.5" customHeight="1" x14ac:dyDescent="0.25"/>
    <row r="644" ht="10.5" customHeight="1" x14ac:dyDescent="0.25"/>
    <row r="645" ht="10.5" customHeight="1" x14ac:dyDescent="0.25"/>
    <row r="646" ht="10.5" customHeight="1" x14ac:dyDescent="0.25"/>
    <row r="647" ht="10.5" customHeight="1" x14ac:dyDescent="0.25"/>
    <row r="648" ht="10.5" customHeight="1" x14ac:dyDescent="0.25"/>
    <row r="649" ht="10.5" customHeight="1" x14ac:dyDescent="0.25"/>
    <row r="650" ht="10.5" customHeight="1" x14ac:dyDescent="0.25"/>
    <row r="651" ht="10.5" customHeight="1" x14ac:dyDescent="0.25"/>
    <row r="652" ht="10.5" customHeight="1" x14ac:dyDescent="0.25"/>
    <row r="653" ht="10.5" customHeight="1" x14ac:dyDescent="0.25"/>
    <row r="654" ht="10.5" customHeight="1" x14ac:dyDescent="0.25"/>
    <row r="655" ht="10.5" customHeight="1" x14ac:dyDescent="0.25"/>
    <row r="656" ht="10.5" customHeight="1" x14ac:dyDescent="0.25"/>
    <row r="657" ht="10.5" customHeight="1" x14ac:dyDescent="0.25"/>
    <row r="658" ht="10.5" customHeight="1" x14ac:dyDescent="0.25"/>
    <row r="659" ht="10.5" customHeight="1" x14ac:dyDescent="0.25"/>
    <row r="660" ht="10.5" customHeight="1" x14ac:dyDescent="0.25"/>
    <row r="661" ht="10.5" customHeight="1" x14ac:dyDescent="0.25"/>
    <row r="662" ht="10.5" customHeight="1" x14ac:dyDescent="0.25"/>
    <row r="663" ht="10.5" customHeight="1" x14ac:dyDescent="0.25"/>
    <row r="664" ht="10.5" customHeight="1" x14ac:dyDescent="0.25"/>
    <row r="665" ht="10.5" customHeight="1" x14ac:dyDescent="0.25"/>
    <row r="666" ht="10.5" customHeight="1" x14ac:dyDescent="0.25"/>
    <row r="667" ht="10.5" customHeight="1" x14ac:dyDescent="0.25"/>
    <row r="668" ht="10.5" customHeight="1" x14ac:dyDescent="0.25"/>
    <row r="669" ht="10.5" customHeight="1" x14ac:dyDescent="0.25"/>
    <row r="670" ht="10.5" customHeight="1" x14ac:dyDescent="0.25"/>
    <row r="671" ht="10.5" customHeight="1" x14ac:dyDescent="0.25"/>
    <row r="672" ht="10.5" customHeight="1" x14ac:dyDescent="0.25"/>
    <row r="673" ht="10.5" customHeight="1" x14ac:dyDescent="0.25"/>
    <row r="674" ht="10.5" customHeight="1" x14ac:dyDescent="0.25"/>
    <row r="675" ht="10.5" customHeight="1" x14ac:dyDescent="0.25"/>
    <row r="676" ht="10.5" customHeight="1" x14ac:dyDescent="0.25"/>
    <row r="677" ht="10.5" customHeight="1" x14ac:dyDescent="0.25"/>
    <row r="678" ht="10.5" customHeight="1" x14ac:dyDescent="0.25"/>
    <row r="679" ht="10.5" customHeight="1" x14ac:dyDescent="0.25"/>
    <row r="680" ht="10.5" customHeight="1" x14ac:dyDescent="0.25"/>
    <row r="681" ht="10.5" customHeight="1" x14ac:dyDescent="0.25"/>
    <row r="682" ht="10.5" customHeight="1" x14ac:dyDescent="0.25"/>
    <row r="683" ht="10.5" customHeight="1" x14ac:dyDescent="0.25"/>
    <row r="684" ht="10.5" customHeight="1" x14ac:dyDescent="0.25"/>
    <row r="685" ht="10.5" customHeight="1" x14ac:dyDescent="0.25"/>
    <row r="686" ht="10.5" customHeight="1" x14ac:dyDescent="0.25"/>
    <row r="687" ht="10.5" customHeight="1" x14ac:dyDescent="0.25"/>
    <row r="688" ht="10.5" customHeight="1" x14ac:dyDescent="0.25"/>
    <row r="689" ht="10.5" customHeight="1" x14ac:dyDescent="0.25"/>
    <row r="690" ht="10.5" customHeight="1" x14ac:dyDescent="0.25"/>
    <row r="691" ht="10.5" customHeight="1" x14ac:dyDescent="0.25"/>
    <row r="692" ht="10.5" customHeight="1" x14ac:dyDescent="0.25"/>
    <row r="693" ht="10.5" customHeight="1" x14ac:dyDescent="0.25"/>
    <row r="694" ht="10.5" customHeight="1" x14ac:dyDescent="0.25"/>
    <row r="695" ht="10.5" customHeight="1" x14ac:dyDescent="0.25"/>
    <row r="696" ht="10.5" customHeight="1" x14ac:dyDescent="0.25"/>
    <row r="697" ht="10.5" customHeight="1" x14ac:dyDescent="0.25"/>
    <row r="698" ht="10.5" customHeight="1" x14ac:dyDescent="0.25"/>
    <row r="699" ht="10.5" customHeight="1" x14ac:dyDescent="0.25"/>
    <row r="700" ht="10.5" customHeight="1" x14ac:dyDescent="0.25"/>
    <row r="701" ht="10.5" customHeight="1" x14ac:dyDescent="0.25"/>
    <row r="702" ht="10.5" customHeight="1" x14ac:dyDescent="0.25"/>
    <row r="703" ht="10.5" customHeight="1" x14ac:dyDescent="0.25"/>
    <row r="704" ht="10.5" customHeight="1" x14ac:dyDescent="0.25"/>
    <row r="705" ht="10.5" customHeight="1" x14ac:dyDescent="0.25"/>
    <row r="706" ht="10.5" customHeight="1" x14ac:dyDescent="0.25"/>
    <row r="707" ht="10.5" customHeight="1" x14ac:dyDescent="0.25"/>
    <row r="708" ht="10.5" customHeight="1" x14ac:dyDescent="0.25"/>
    <row r="709" ht="10.5" customHeight="1" x14ac:dyDescent="0.25"/>
    <row r="710" ht="10.5" customHeight="1" x14ac:dyDescent="0.25"/>
    <row r="711" ht="10.5" customHeight="1" x14ac:dyDescent="0.25"/>
    <row r="712" ht="10.5" customHeight="1" x14ac:dyDescent="0.25"/>
    <row r="713" ht="10.5" customHeight="1" x14ac:dyDescent="0.25"/>
    <row r="714" ht="10.5" customHeight="1" x14ac:dyDescent="0.25"/>
    <row r="715" ht="10.5" customHeight="1" x14ac:dyDescent="0.25"/>
    <row r="716" ht="10.5" customHeight="1" x14ac:dyDescent="0.25"/>
    <row r="717" ht="10.5" customHeight="1" x14ac:dyDescent="0.25"/>
    <row r="718" ht="10.5" customHeight="1" x14ac:dyDescent="0.25"/>
    <row r="719" ht="10.5" customHeight="1" x14ac:dyDescent="0.25"/>
    <row r="720" ht="10.5" customHeight="1" x14ac:dyDescent="0.25"/>
    <row r="721" ht="10.5" customHeight="1" x14ac:dyDescent="0.25"/>
    <row r="722" ht="10.5" customHeight="1" x14ac:dyDescent="0.25"/>
    <row r="723" ht="10.5" customHeight="1" x14ac:dyDescent="0.25"/>
    <row r="724" ht="10.5" customHeight="1" x14ac:dyDescent="0.25"/>
    <row r="725" ht="10.5" customHeight="1" x14ac:dyDescent="0.25"/>
    <row r="726" ht="10.5" customHeight="1" x14ac:dyDescent="0.25"/>
    <row r="727" ht="10.5" customHeight="1" x14ac:dyDescent="0.25"/>
    <row r="728" ht="10.5" customHeight="1" x14ac:dyDescent="0.25"/>
    <row r="729" ht="10.5" customHeight="1" x14ac:dyDescent="0.25"/>
    <row r="730" ht="10.5" customHeight="1" x14ac:dyDescent="0.25"/>
    <row r="731" ht="10.5" customHeight="1" x14ac:dyDescent="0.25"/>
    <row r="732" ht="10.5" customHeight="1" x14ac:dyDescent="0.25"/>
    <row r="733" ht="10.5" customHeight="1" x14ac:dyDescent="0.25"/>
    <row r="734" ht="10.5" customHeight="1" x14ac:dyDescent="0.25"/>
    <row r="735" ht="10.5" customHeight="1" x14ac:dyDescent="0.25"/>
    <row r="736" ht="10.5" customHeight="1" x14ac:dyDescent="0.25"/>
    <row r="737" ht="10.5" customHeight="1" x14ac:dyDescent="0.25"/>
    <row r="738" ht="10.5" customHeight="1" x14ac:dyDescent="0.25"/>
    <row r="739" ht="10.5" customHeight="1" x14ac:dyDescent="0.25"/>
    <row r="740" ht="10.5" customHeight="1" x14ac:dyDescent="0.25"/>
    <row r="741" ht="10.5" customHeight="1" x14ac:dyDescent="0.25"/>
    <row r="742" ht="10.5" customHeight="1" x14ac:dyDescent="0.25"/>
    <row r="743" ht="10.5" customHeight="1" x14ac:dyDescent="0.25"/>
    <row r="744" ht="10.5" customHeight="1" x14ac:dyDescent="0.25"/>
    <row r="745" ht="10.5" customHeight="1" x14ac:dyDescent="0.25"/>
    <row r="746" ht="10.5" customHeight="1" x14ac:dyDescent="0.25"/>
    <row r="747" ht="10.5" customHeight="1" x14ac:dyDescent="0.25"/>
    <row r="748" ht="10.5" customHeight="1" x14ac:dyDescent="0.25"/>
    <row r="749" ht="10.5" customHeight="1" x14ac:dyDescent="0.25"/>
    <row r="750" ht="10.5" customHeight="1" x14ac:dyDescent="0.25"/>
    <row r="751" ht="10.5" customHeight="1" x14ac:dyDescent="0.25"/>
    <row r="752" ht="10.5" customHeight="1" x14ac:dyDescent="0.25"/>
    <row r="753" ht="10.5" customHeight="1" x14ac:dyDescent="0.25"/>
    <row r="754" ht="10.5" customHeight="1" x14ac:dyDescent="0.25"/>
    <row r="755" ht="10.5" customHeight="1" x14ac:dyDescent="0.25"/>
    <row r="756" ht="10.5" customHeight="1" x14ac:dyDescent="0.25"/>
    <row r="757" ht="10.5" customHeight="1" x14ac:dyDescent="0.25"/>
    <row r="758" ht="10.5" customHeight="1" x14ac:dyDescent="0.25"/>
    <row r="759" ht="10.5" customHeight="1" x14ac:dyDescent="0.25"/>
    <row r="760" ht="10.5" customHeight="1" x14ac:dyDescent="0.25"/>
    <row r="761" ht="10.5" customHeight="1" x14ac:dyDescent="0.25"/>
    <row r="762" ht="10.5" customHeight="1" x14ac:dyDescent="0.25"/>
    <row r="763" ht="10.5" customHeight="1" x14ac:dyDescent="0.25"/>
    <row r="764" ht="10.5" customHeight="1" x14ac:dyDescent="0.25"/>
    <row r="765" ht="10.5" customHeight="1" x14ac:dyDescent="0.25"/>
    <row r="766" ht="10.5" customHeight="1" x14ac:dyDescent="0.25"/>
    <row r="767" ht="10.5" customHeight="1" x14ac:dyDescent="0.25"/>
    <row r="768" ht="10.5" customHeight="1" x14ac:dyDescent="0.25"/>
    <row r="769" ht="10.5" customHeight="1" x14ac:dyDescent="0.25"/>
    <row r="770" ht="10.5" customHeight="1" x14ac:dyDescent="0.25"/>
    <row r="771" ht="10.5" customHeight="1" x14ac:dyDescent="0.25"/>
    <row r="772" ht="10.5" customHeight="1" x14ac:dyDescent="0.25"/>
    <row r="773" ht="10.5" customHeight="1" x14ac:dyDescent="0.25"/>
    <row r="774" ht="10.5" customHeight="1" x14ac:dyDescent="0.25"/>
    <row r="775" ht="10.5" customHeight="1" x14ac:dyDescent="0.25"/>
    <row r="776" ht="10.5" customHeight="1" x14ac:dyDescent="0.25"/>
    <row r="777" ht="10.5" customHeight="1" x14ac:dyDescent="0.25"/>
    <row r="778" ht="10.5" customHeight="1" x14ac:dyDescent="0.25"/>
    <row r="779" ht="10.5" customHeight="1" x14ac:dyDescent="0.25"/>
    <row r="780" ht="10.5" customHeight="1" x14ac:dyDescent="0.25"/>
    <row r="781" ht="10.5" customHeight="1" x14ac:dyDescent="0.25"/>
    <row r="782" ht="10.5" customHeight="1" x14ac:dyDescent="0.25"/>
    <row r="783" ht="10.5" customHeight="1" x14ac:dyDescent="0.25"/>
    <row r="784" ht="10.5" customHeight="1" x14ac:dyDescent="0.25"/>
    <row r="785" ht="10.5" customHeight="1" x14ac:dyDescent="0.25"/>
    <row r="786" ht="10.5" customHeight="1" x14ac:dyDescent="0.25"/>
    <row r="787" ht="10.5" customHeight="1" x14ac:dyDescent="0.25"/>
    <row r="788" ht="10.5" customHeight="1" x14ac:dyDescent="0.25"/>
    <row r="789" ht="10.5" customHeight="1" x14ac:dyDescent="0.25"/>
    <row r="790" ht="10.5" customHeight="1" x14ac:dyDescent="0.25"/>
    <row r="791" ht="10.5" customHeight="1" x14ac:dyDescent="0.25"/>
    <row r="792" ht="10.5" customHeight="1" x14ac:dyDescent="0.25"/>
    <row r="793" ht="10.5" customHeight="1" x14ac:dyDescent="0.25"/>
    <row r="794" ht="10.5" customHeight="1" x14ac:dyDescent="0.25"/>
    <row r="795" ht="10.5" customHeight="1" x14ac:dyDescent="0.25"/>
    <row r="796" ht="10.5" customHeight="1" x14ac:dyDescent="0.25"/>
    <row r="797" ht="10.5" customHeight="1" x14ac:dyDescent="0.25"/>
    <row r="798" ht="10.5" customHeight="1" x14ac:dyDescent="0.25"/>
    <row r="799" ht="10.5" customHeight="1" x14ac:dyDescent="0.25"/>
    <row r="800" ht="10.5" customHeight="1" x14ac:dyDescent="0.25"/>
    <row r="801" ht="10.5" customHeight="1" x14ac:dyDescent="0.25"/>
    <row r="802" ht="10.5" customHeight="1" x14ac:dyDescent="0.25"/>
    <row r="803" ht="10.5" customHeight="1" x14ac:dyDescent="0.25"/>
    <row r="804" ht="10.5" customHeight="1" x14ac:dyDescent="0.25"/>
    <row r="805" ht="10.5" customHeight="1" x14ac:dyDescent="0.25"/>
    <row r="806" ht="10.5" customHeight="1" x14ac:dyDescent="0.25"/>
    <row r="807" ht="10.5" customHeight="1" x14ac:dyDescent="0.25"/>
    <row r="808" ht="10.5" customHeight="1" x14ac:dyDescent="0.25"/>
    <row r="809" ht="10.5" customHeight="1" x14ac:dyDescent="0.25"/>
    <row r="810" ht="10.5" customHeight="1" x14ac:dyDescent="0.25"/>
    <row r="811" ht="10.5" customHeight="1" x14ac:dyDescent="0.25"/>
    <row r="812" ht="10.5" customHeight="1" x14ac:dyDescent="0.25"/>
    <row r="813" ht="10.5" customHeight="1" x14ac:dyDescent="0.25"/>
    <row r="814" ht="10.5" customHeight="1" x14ac:dyDescent="0.25"/>
    <row r="815" ht="10.5" customHeight="1" x14ac:dyDescent="0.25"/>
    <row r="816" ht="10.5" customHeight="1" x14ac:dyDescent="0.25"/>
    <row r="817" ht="10.5" customHeight="1" x14ac:dyDescent="0.25"/>
    <row r="818" ht="10.5" customHeight="1" x14ac:dyDescent="0.25"/>
    <row r="819" ht="10.5" customHeight="1" x14ac:dyDescent="0.25"/>
    <row r="820" ht="10.5" customHeight="1" x14ac:dyDescent="0.25"/>
    <row r="821" ht="10.5" customHeight="1" x14ac:dyDescent="0.25"/>
    <row r="822" ht="10.5" customHeight="1" x14ac:dyDescent="0.25"/>
    <row r="823" ht="10.5" customHeight="1" x14ac:dyDescent="0.25"/>
    <row r="824" ht="10.5" customHeight="1" x14ac:dyDescent="0.25"/>
    <row r="825" ht="10.5" customHeight="1" x14ac:dyDescent="0.25"/>
    <row r="826" ht="10.5" customHeight="1" x14ac:dyDescent="0.25"/>
    <row r="827" ht="10.5" customHeight="1" x14ac:dyDescent="0.25"/>
    <row r="828" ht="10.5" customHeight="1" x14ac:dyDescent="0.25"/>
    <row r="829" ht="10.5" customHeight="1" x14ac:dyDescent="0.25"/>
    <row r="830" ht="10.5" customHeight="1" x14ac:dyDescent="0.25"/>
    <row r="831" ht="10.5" customHeight="1" x14ac:dyDescent="0.25"/>
    <row r="832" ht="10.5" customHeight="1" x14ac:dyDescent="0.25"/>
    <row r="833" ht="10.5" customHeight="1" x14ac:dyDescent="0.25"/>
    <row r="834" ht="10.5" customHeight="1" x14ac:dyDescent="0.25"/>
    <row r="835" ht="10.5" customHeight="1" x14ac:dyDescent="0.25"/>
    <row r="836" ht="10.5" customHeight="1" x14ac:dyDescent="0.25"/>
    <row r="837" ht="10.5" customHeight="1" x14ac:dyDescent="0.25"/>
    <row r="838" ht="10.5" customHeight="1" x14ac:dyDescent="0.25"/>
    <row r="839" ht="10.5" customHeight="1" x14ac:dyDescent="0.25"/>
    <row r="840" ht="10.5" customHeight="1" x14ac:dyDescent="0.25"/>
    <row r="841" ht="10.5" customHeight="1" x14ac:dyDescent="0.25"/>
    <row r="842" ht="10.5" customHeight="1" x14ac:dyDescent="0.25"/>
    <row r="843" ht="10.5" customHeight="1" x14ac:dyDescent="0.25"/>
    <row r="844" ht="10.5" customHeight="1" x14ac:dyDescent="0.25"/>
    <row r="845" ht="10.5" customHeight="1" x14ac:dyDescent="0.25"/>
    <row r="846" ht="10.5" customHeight="1" x14ac:dyDescent="0.25"/>
    <row r="847" ht="10.5" customHeight="1" x14ac:dyDescent="0.25"/>
    <row r="848" ht="10.5" customHeight="1" x14ac:dyDescent="0.25"/>
    <row r="849" ht="10.5" customHeight="1" x14ac:dyDescent="0.25"/>
    <row r="850" ht="10.5" customHeight="1" x14ac:dyDescent="0.25"/>
    <row r="851" ht="10.5" customHeight="1" x14ac:dyDescent="0.25"/>
    <row r="852" ht="10.5" customHeight="1" x14ac:dyDescent="0.25"/>
    <row r="853" ht="10.5" customHeight="1" x14ac:dyDescent="0.25"/>
    <row r="854" ht="10.5" customHeight="1" x14ac:dyDescent="0.25"/>
    <row r="855" ht="10.5" customHeight="1" x14ac:dyDescent="0.25"/>
    <row r="856" ht="10.5" customHeight="1" x14ac:dyDescent="0.25"/>
    <row r="857" ht="10.5" customHeight="1" x14ac:dyDescent="0.25"/>
    <row r="858" ht="10.5" customHeight="1" x14ac:dyDescent="0.25"/>
    <row r="859" ht="10.5" customHeight="1" x14ac:dyDescent="0.25"/>
    <row r="860" ht="10.5" customHeight="1" x14ac:dyDescent="0.25"/>
    <row r="861" ht="10.5" customHeight="1" x14ac:dyDescent="0.25"/>
    <row r="862" ht="10.5" customHeight="1" x14ac:dyDescent="0.25"/>
    <row r="863" ht="10.5" customHeight="1" x14ac:dyDescent="0.25"/>
    <row r="864" ht="10.5" customHeight="1" x14ac:dyDescent="0.25"/>
    <row r="865" ht="10.5" customHeight="1" x14ac:dyDescent="0.25"/>
    <row r="866" ht="10.5" customHeight="1" x14ac:dyDescent="0.25"/>
    <row r="867" ht="10.5" customHeight="1" x14ac:dyDescent="0.25"/>
    <row r="868" ht="10.5" customHeight="1" x14ac:dyDescent="0.25"/>
    <row r="869" ht="10.5" customHeight="1" x14ac:dyDescent="0.25"/>
    <row r="870" ht="10.5" customHeight="1" x14ac:dyDescent="0.25"/>
    <row r="871" ht="10.5" customHeight="1" x14ac:dyDescent="0.25"/>
    <row r="872" ht="10.5" customHeight="1" x14ac:dyDescent="0.25"/>
    <row r="873" ht="10.5" customHeight="1" x14ac:dyDescent="0.25"/>
    <row r="874" ht="10.5" customHeight="1" x14ac:dyDescent="0.25"/>
    <row r="875" ht="10.5" customHeight="1" x14ac:dyDescent="0.25"/>
    <row r="876" ht="10.5" customHeight="1" x14ac:dyDescent="0.25"/>
    <row r="877" ht="10.5" customHeight="1" x14ac:dyDescent="0.25"/>
    <row r="878" ht="10.5" customHeight="1" x14ac:dyDescent="0.25"/>
    <row r="879" ht="10.5" customHeight="1" x14ac:dyDescent="0.25"/>
    <row r="880" ht="10.5" customHeight="1" x14ac:dyDescent="0.25"/>
    <row r="881" ht="10.5" customHeight="1" x14ac:dyDescent="0.25"/>
    <row r="882" ht="10.5" customHeight="1" x14ac:dyDescent="0.25"/>
    <row r="883" ht="10.5" customHeight="1" x14ac:dyDescent="0.25"/>
    <row r="884" ht="10.5" customHeight="1" x14ac:dyDescent="0.25"/>
    <row r="885" ht="10.5" customHeight="1" x14ac:dyDescent="0.25"/>
    <row r="886" ht="10.5" customHeight="1" x14ac:dyDescent="0.25"/>
    <row r="887" ht="10.5" customHeight="1" x14ac:dyDescent="0.25"/>
    <row r="888" ht="10.5" customHeight="1" x14ac:dyDescent="0.25"/>
    <row r="889" ht="10.5" customHeight="1" x14ac:dyDescent="0.25"/>
    <row r="890" ht="10.5" customHeight="1" x14ac:dyDescent="0.25"/>
    <row r="891" ht="10.5" customHeight="1" x14ac:dyDescent="0.25"/>
    <row r="892" ht="10.5" customHeight="1" x14ac:dyDescent="0.25"/>
    <row r="893" ht="10.5" customHeight="1" x14ac:dyDescent="0.25"/>
    <row r="894" ht="10.5" customHeight="1" x14ac:dyDescent="0.25"/>
    <row r="895" ht="10.5" customHeight="1" x14ac:dyDescent="0.25"/>
    <row r="896" ht="10.5" customHeight="1" x14ac:dyDescent="0.25"/>
    <row r="897" ht="10.5" customHeight="1" x14ac:dyDescent="0.25"/>
    <row r="898" ht="10.5" customHeight="1" x14ac:dyDescent="0.25"/>
    <row r="899" ht="10.5" customHeight="1" x14ac:dyDescent="0.25"/>
    <row r="900" ht="10.5" customHeight="1" x14ac:dyDescent="0.25"/>
    <row r="901" ht="10.5" customHeight="1" x14ac:dyDescent="0.25"/>
    <row r="902" ht="10.5" customHeight="1" x14ac:dyDescent="0.25"/>
    <row r="903" ht="10.5" customHeight="1" x14ac:dyDescent="0.25"/>
    <row r="904" ht="10.5" customHeight="1" x14ac:dyDescent="0.25"/>
    <row r="905" ht="10.5" customHeight="1" x14ac:dyDescent="0.25"/>
    <row r="906" ht="10.5" customHeight="1" x14ac:dyDescent="0.25"/>
    <row r="907" ht="10.5" customHeight="1" x14ac:dyDescent="0.25"/>
    <row r="908" ht="10.5" customHeight="1" x14ac:dyDescent="0.25"/>
    <row r="909" ht="10.5" customHeight="1" x14ac:dyDescent="0.25"/>
    <row r="910" ht="10.5" customHeight="1" x14ac:dyDescent="0.25"/>
    <row r="911" ht="10.5" customHeight="1" x14ac:dyDescent="0.25"/>
    <row r="912" ht="10.5" customHeight="1" x14ac:dyDescent="0.25"/>
    <row r="913" ht="10.5" customHeight="1" x14ac:dyDescent="0.25"/>
    <row r="914" ht="10.5" customHeight="1" x14ac:dyDescent="0.25"/>
    <row r="915" ht="10.5" customHeight="1" x14ac:dyDescent="0.25"/>
    <row r="916" ht="10.5" customHeight="1" x14ac:dyDescent="0.25"/>
    <row r="917" ht="10.5" customHeight="1" x14ac:dyDescent="0.25"/>
    <row r="918" ht="10.5" customHeight="1" x14ac:dyDescent="0.25"/>
    <row r="919" ht="10.5" customHeight="1" x14ac:dyDescent="0.25"/>
    <row r="920" ht="10.5" customHeight="1" x14ac:dyDescent="0.25"/>
    <row r="921" ht="10.5" customHeight="1" x14ac:dyDescent="0.25"/>
    <row r="922" ht="10.5" customHeight="1" x14ac:dyDescent="0.25"/>
    <row r="923" ht="10.5" customHeight="1" x14ac:dyDescent="0.25"/>
    <row r="924" ht="10.5" customHeight="1" x14ac:dyDescent="0.25"/>
    <row r="925" ht="10.5" customHeight="1" x14ac:dyDescent="0.25"/>
    <row r="926" ht="10.5" customHeight="1" x14ac:dyDescent="0.25"/>
    <row r="927" ht="10.5" customHeight="1" x14ac:dyDescent="0.25"/>
    <row r="928" ht="10.5" customHeight="1" x14ac:dyDescent="0.25"/>
    <row r="929" ht="10.5" customHeight="1" x14ac:dyDescent="0.25"/>
    <row r="930" ht="10.5" customHeight="1" x14ac:dyDescent="0.25"/>
    <row r="931" ht="10.5" customHeight="1" x14ac:dyDescent="0.25"/>
    <row r="932" ht="10.5" customHeight="1" x14ac:dyDescent="0.25"/>
    <row r="933" ht="10.5" customHeight="1" x14ac:dyDescent="0.25"/>
    <row r="934" ht="10.5" customHeight="1" x14ac:dyDescent="0.25"/>
    <row r="935" ht="10.5" customHeight="1" x14ac:dyDescent="0.25"/>
    <row r="936" ht="10.5" customHeight="1" x14ac:dyDescent="0.25"/>
    <row r="937" ht="10.5" customHeight="1" x14ac:dyDescent="0.25"/>
    <row r="938" ht="10.5" customHeight="1" x14ac:dyDescent="0.25"/>
    <row r="939" ht="10.5" customHeight="1" x14ac:dyDescent="0.25"/>
    <row r="940" ht="10.5" customHeight="1" x14ac:dyDescent="0.25"/>
    <row r="941" ht="10.5" customHeight="1" x14ac:dyDescent="0.25"/>
    <row r="942" ht="10.5" customHeight="1" x14ac:dyDescent="0.25"/>
    <row r="943" ht="10.5" customHeight="1" x14ac:dyDescent="0.25"/>
    <row r="944" ht="10.5" customHeight="1" x14ac:dyDescent="0.25"/>
    <row r="945" ht="10.5" customHeight="1" x14ac:dyDescent="0.25"/>
    <row r="946" ht="10.5" customHeight="1" x14ac:dyDescent="0.25"/>
    <row r="947" ht="10.5" customHeight="1" x14ac:dyDescent="0.25"/>
    <row r="948" ht="10.5" customHeight="1" x14ac:dyDescent="0.25"/>
    <row r="949" ht="10.5" customHeight="1" x14ac:dyDescent="0.25"/>
    <row r="950" ht="10.5" customHeight="1" x14ac:dyDescent="0.25"/>
    <row r="951" ht="10.5" customHeight="1" x14ac:dyDescent="0.25"/>
    <row r="952" ht="10.5" customHeight="1" x14ac:dyDescent="0.25"/>
    <row r="953" ht="10.5" customHeight="1" x14ac:dyDescent="0.25"/>
    <row r="954" ht="10.5" customHeight="1" x14ac:dyDescent="0.25"/>
    <row r="955" ht="10.5" customHeight="1" x14ac:dyDescent="0.25"/>
    <row r="956" ht="10.5" customHeight="1" x14ac:dyDescent="0.25"/>
    <row r="957" ht="10.5" customHeight="1" x14ac:dyDescent="0.25"/>
    <row r="958" ht="10.5" customHeight="1" x14ac:dyDescent="0.25"/>
    <row r="959" ht="10.5" customHeight="1" x14ac:dyDescent="0.25"/>
    <row r="960" ht="10.5" customHeight="1" x14ac:dyDescent="0.25"/>
    <row r="961" ht="10.5" customHeight="1" x14ac:dyDescent="0.25"/>
    <row r="962" ht="10.5" customHeight="1" x14ac:dyDescent="0.25"/>
    <row r="963" ht="10.5" customHeight="1" x14ac:dyDescent="0.25"/>
    <row r="964" ht="10.5" customHeight="1" x14ac:dyDescent="0.25"/>
    <row r="965" ht="10.5" customHeight="1" x14ac:dyDescent="0.25"/>
    <row r="966" ht="10.5" customHeight="1" x14ac:dyDescent="0.25"/>
    <row r="967" ht="10.5" customHeight="1" x14ac:dyDescent="0.25"/>
    <row r="968" ht="10.5" customHeight="1" x14ac:dyDescent="0.25"/>
    <row r="969" ht="10.5" customHeight="1" x14ac:dyDescent="0.25"/>
    <row r="970" ht="10.5" customHeight="1" x14ac:dyDescent="0.25"/>
    <row r="971" ht="10.5" customHeight="1" x14ac:dyDescent="0.25"/>
    <row r="972" ht="10.5" customHeight="1" x14ac:dyDescent="0.25"/>
    <row r="973" ht="10.5" customHeight="1" x14ac:dyDescent="0.25"/>
    <row r="974" ht="10.5" customHeight="1" x14ac:dyDescent="0.25"/>
    <row r="975" ht="10.5" customHeight="1" x14ac:dyDescent="0.25"/>
    <row r="976" ht="10.5" customHeight="1" x14ac:dyDescent="0.25"/>
    <row r="977" ht="10.5" customHeight="1" x14ac:dyDescent="0.25"/>
    <row r="978" ht="10.5" customHeight="1" x14ac:dyDescent="0.25"/>
    <row r="979" ht="10.5" customHeight="1" x14ac:dyDescent="0.25"/>
    <row r="980" ht="10.5" customHeight="1" x14ac:dyDescent="0.25"/>
    <row r="981" ht="10.5" customHeight="1" x14ac:dyDescent="0.25"/>
    <row r="982" ht="10.5" customHeight="1" x14ac:dyDescent="0.25"/>
    <row r="983" ht="10.5" customHeight="1" x14ac:dyDescent="0.25"/>
    <row r="984" ht="10.5" customHeight="1" x14ac:dyDescent="0.25"/>
    <row r="985" ht="10.5" customHeight="1" x14ac:dyDescent="0.25"/>
    <row r="986" ht="10.5" customHeight="1" x14ac:dyDescent="0.25"/>
    <row r="987" ht="10.5" customHeight="1" x14ac:dyDescent="0.25"/>
    <row r="988" ht="10.5" customHeight="1" x14ac:dyDescent="0.25"/>
    <row r="989" ht="10.5" customHeight="1" x14ac:dyDescent="0.25"/>
    <row r="990" ht="10.5" customHeight="1" x14ac:dyDescent="0.25"/>
    <row r="991" ht="10.5" customHeight="1" x14ac:dyDescent="0.25"/>
    <row r="992" ht="10.5" customHeight="1" x14ac:dyDescent="0.25"/>
    <row r="993" ht="10.5" customHeight="1" x14ac:dyDescent="0.25"/>
    <row r="994" ht="10.5" customHeight="1" x14ac:dyDescent="0.25"/>
    <row r="995" ht="10.5" customHeight="1" x14ac:dyDescent="0.25"/>
    <row r="996" ht="10.5" customHeight="1" x14ac:dyDescent="0.25"/>
    <row r="997" ht="10.5" customHeight="1" x14ac:dyDescent="0.25"/>
    <row r="998" ht="10.5" customHeight="1" x14ac:dyDescent="0.25"/>
    <row r="999" ht="10.5" customHeight="1" x14ac:dyDescent="0.25"/>
    <row r="1000" ht="10.5" customHeight="1" x14ac:dyDescent="0.25"/>
    <row r="1001" ht="10.5" customHeight="1" x14ac:dyDescent="0.25"/>
    <row r="1002" ht="10.5" customHeight="1" x14ac:dyDescent="0.25"/>
    <row r="1003" ht="10.5" customHeight="1" x14ac:dyDescent="0.25"/>
    <row r="1004" ht="10.5" customHeight="1" x14ac:dyDescent="0.25"/>
    <row r="1005" ht="10.5" customHeight="1" x14ac:dyDescent="0.25"/>
    <row r="1006" ht="10.5" customHeight="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20"/>
  <sheetViews>
    <sheetView workbookViewId="0"/>
  </sheetViews>
  <sheetFormatPr defaultRowHeight="12.5" x14ac:dyDescent="0.25"/>
  <cols>
    <col min="1" max="1" width="3.7265625" style="1" customWidth="1"/>
    <col min="2" max="2" width="50" style="1" customWidth="1"/>
    <col min="3" max="3" width="12" style="1" customWidth="1"/>
    <col min="4" max="6" width="17" style="1" customWidth="1"/>
    <col min="7" max="16384" width="8.7265625" style="1"/>
  </cols>
  <sheetData>
    <row r="1" spans="2:6" ht="15.5" customHeight="1" x14ac:dyDescent="0.25"/>
    <row r="2" spans="2:6" ht="19.5" customHeight="1" x14ac:dyDescent="0.25">
      <c r="B2" s="20" t="s">
        <v>45</v>
      </c>
    </row>
    <row r="3" spans="2:6" ht="15.5" customHeight="1" x14ac:dyDescent="0.25">
      <c r="B3" s="21" t="s">
        <v>77</v>
      </c>
    </row>
    <row r="4" spans="2:6" ht="15.5" customHeight="1" x14ac:dyDescent="0.25"/>
    <row r="5" spans="2:6" ht="15.5" customHeight="1" x14ac:dyDescent="0.25">
      <c r="B5" s="14" t="s">
        <v>281</v>
      </c>
      <c r="C5" s="13" t="s">
        <v>99</v>
      </c>
      <c r="D5" s="13" t="s">
        <v>251</v>
      </c>
      <c r="E5" s="13" t="s">
        <v>252</v>
      </c>
      <c r="F5" s="13" t="s">
        <v>253</v>
      </c>
    </row>
    <row r="6" spans="2:6" ht="15.5" customHeight="1" x14ac:dyDescent="0.25"/>
    <row r="7" spans="2:6" ht="15.5" customHeight="1" x14ac:dyDescent="0.25">
      <c r="B7" s="17" t="s">
        <v>282</v>
      </c>
      <c r="C7" s="17"/>
      <c r="D7" s="17"/>
      <c r="E7" s="17"/>
      <c r="F7" s="17"/>
    </row>
    <row r="8" spans="2:6" ht="15.5" customHeight="1" x14ac:dyDescent="0.25">
      <c r="B8" s="131" t="s">
        <v>283</v>
      </c>
      <c r="C8" s="45" t="s">
        <v>33</v>
      </c>
      <c r="D8" s="207">
        <v>1000000</v>
      </c>
      <c r="E8" s="207">
        <v>0</v>
      </c>
      <c r="F8" s="207">
        <v>0</v>
      </c>
    </row>
    <row r="9" spans="2:6" ht="15.5" customHeight="1" x14ac:dyDescent="0.25">
      <c r="B9" s="300" t="s">
        <v>284</v>
      </c>
      <c r="C9" s="45" t="s">
        <v>285</v>
      </c>
      <c r="D9" s="207">
        <v>13910</v>
      </c>
      <c r="E9" s="207">
        <v>0</v>
      </c>
      <c r="F9" s="207">
        <v>0</v>
      </c>
    </row>
    <row r="10" spans="2:6" ht="15.5" customHeight="1" x14ac:dyDescent="0.25">
      <c r="B10" s="301" t="s">
        <v>286</v>
      </c>
      <c r="C10" s="7" t="s">
        <v>15</v>
      </c>
      <c r="D10" s="306">
        <v>1.391E-2</v>
      </c>
      <c r="E10" s="306">
        <v>0</v>
      </c>
      <c r="F10" s="306">
        <v>0</v>
      </c>
    </row>
    <row r="11" spans="2:6" ht="15.5" customHeight="1" x14ac:dyDescent="0.25">
      <c r="B11" s="300" t="s">
        <v>287</v>
      </c>
      <c r="C11" s="45" t="s">
        <v>33</v>
      </c>
      <c r="D11" s="207">
        <f>'5Y – Results'!C23</f>
        <v>642205</v>
      </c>
      <c r="E11" s="207">
        <f>'5Y – Results'!D23</f>
        <v>0</v>
      </c>
      <c r="F11" s="207">
        <f>'5Y – Results'!E23</f>
        <v>0</v>
      </c>
    </row>
    <row r="12" spans="2:6" ht="15.5" customHeight="1" x14ac:dyDescent="0.25">
      <c r="B12" s="17" t="s">
        <v>288</v>
      </c>
      <c r="C12" s="18"/>
      <c r="D12" s="19"/>
      <c r="E12" s="19"/>
      <c r="F12" s="19"/>
    </row>
    <row r="13" spans="2:6" ht="15.5" customHeight="1" x14ac:dyDescent="0.25">
      <c r="B13" s="131" t="s">
        <v>289</v>
      </c>
      <c r="C13" s="45" t="s">
        <v>33</v>
      </c>
      <c r="D13" s="207">
        <f>'5Y – Results'!C24</f>
        <v>1832872.83125</v>
      </c>
      <c r="E13" s="207">
        <f>'5Y – Results'!D24</f>
        <v>2426640.3312499998</v>
      </c>
      <c r="F13" s="207">
        <f>'5Y – Results'!E24</f>
        <v>1773515.33125</v>
      </c>
    </row>
    <row r="14" spans="2:6" ht="15.5" customHeight="1" x14ac:dyDescent="0.25">
      <c r="B14" s="131" t="s">
        <v>290</v>
      </c>
      <c r="C14" s="45" t="s">
        <v>33</v>
      </c>
      <c r="D14" s="207">
        <v>23437.5</v>
      </c>
      <c r="E14" s="207">
        <v>603125</v>
      </c>
      <c r="F14" s="207">
        <v>0</v>
      </c>
    </row>
    <row r="15" spans="2:6" ht="15.5" customHeight="1" x14ac:dyDescent="0.25">
      <c r="B15" s="131" t="s">
        <v>291</v>
      </c>
      <c r="C15" s="45" t="s">
        <v>33</v>
      </c>
      <c r="D15" s="207">
        <v>25000</v>
      </c>
      <c r="E15" s="207">
        <v>50000</v>
      </c>
      <c r="F15" s="207">
        <v>75000</v>
      </c>
    </row>
    <row r="16" spans="2:6" ht="15.5" customHeight="1" x14ac:dyDescent="0.25">
      <c r="B16" s="131" t="s">
        <v>292</v>
      </c>
      <c r="C16" s="45" t="s">
        <v>33</v>
      </c>
      <c r="D16" s="207">
        <f>SUM(D14:D15)</f>
        <v>48437.5</v>
      </c>
      <c r="E16" s="207">
        <f>SUM(E14:E15)</f>
        <v>653125</v>
      </c>
      <c r="F16" s="207">
        <f>SUM(F14:F15)</f>
        <v>75000</v>
      </c>
    </row>
    <row r="17" spans="2:6" ht="15.5" customHeight="1" x14ac:dyDescent="0.25">
      <c r="B17" s="9" t="s">
        <v>293</v>
      </c>
      <c r="C17" s="7" t="s">
        <v>33</v>
      </c>
      <c r="D17" s="8">
        <f>'5Y – Results'!C28</f>
        <v>2426640.3312499998</v>
      </c>
      <c r="E17" s="8">
        <f>'5Y – Results'!D28</f>
        <v>1773515.33125</v>
      </c>
      <c r="F17" s="8">
        <f>'5Y – Results'!E28</f>
        <v>1698515.33125</v>
      </c>
    </row>
    <row r="18" spans="2:6" ht="15.5" customHeight="1" x14ac:dyDescent="0.25">
      <c r="B18" s="303" t="s">
        <v>294</v>
      </c>
      <c r="C18" s="304" t="s">
        <v>33</v>
      </c>
      <c r="D18" s="305">
        <f>D11-D14</f>
        <v>618767.5</v>
      </c>
      <c r="E18" s="305">
        <f>E11-E14</f>
        <v>-603125</v>
      </c>
      <c r="F18" s="305">
        <f>F11-F14</f>
        <v>0</v>
      </c>
    </row>
    <row r="19" spans="2:6" ht="15.5" customHeight="1" x14ac:dyDescent="0.25">
      <c r="B19" s="131" t="s">
        <v>295</v>
      </c>
      <c r="C19" s="45" t="s">
        <v>33</v>
      </c>
      <c r="D19" s="207">
        <f>'5Y – Results'!C25</f>
        <v>42385</v>
      </c>
      <c r="E19" s="207">
        <f>'5Y – Results'!D25</f>
        <v>123372.91666666667</v>
      </c>
      <c r="F19" s="207">
        <f>'5Y – Results'!E25</f>
        <v>232331.25</v>
      </c>
    </row>
    <row r="20" spans="2:6" ht="15.5" customHeight="1" x14ac:dyDescent="0.25">
      <c r="B20" s="10" t="s">
        <v>296</v>
      </c>
      <c r="C20" s="7" t="s">
        <v>33</v>
      </c>
      <c r="D20" s="8">
        <f>'5Y – Results'!C31</f>
        <v>367744.98</v>
      </c>
      <c r="E20" s="8">
        <f>'5Y – Results'!D31</f>
        <v>15688328.18</v>
      </c>
      <c r="F20" s="8">
        <f>'5Y – Results'!E31</f>
        <v>56127280.979999997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994"/>
  <sheetViews>
    <sheetView workbookViewId="0"/>
  </sheetViews>
  <sheetFormatPr defaultColWidth="14.453125" defaultRowHeight="12.5" x14ac:dyDescent="0.25"/>
  <cols>
    <col min="1" max="1" width="3.7265625" style="1" customWidth="1"/>
    <col min="2" max="2" width="50" style="1" customWidth="1"/>
    <col min="3" max="3" width="12" style="45" customWidth="1"/>
    <col min="4" max="6" width="17" style="1" customWidth="1"/>
    <col min="7" max="7" width="14.453125" style="1" customWidth="1"/>
    <col min="8" max="16384" width="14.453125" style="1"/>
  </cols>
  <sheetData>
    <row r="1" spans="2:9" ht="15.75" customHeight="1" x14ac:dyDescent="0.25">
      <c r="C1" s="1"/>
    </row>
    <row r="2" spans="2:9" ht="19.5" customHeight="1" x14ac:dyDescent="0.25">
      <c r="B2" s="20" t="s">
        <v>45</v>
      </c>
      <c r="C2" s="1"/>
    </row>
    <row r="3" spans="2:9" ht="15.75" customHeight="1" x14ac:dyDescent="0.25">
      <c r="B3" s="21" t="s">
        <v>79</v>
      </c>
      <c r="C3" s="1"/>
    </row>
    <row r="4" spans="2:9" ht="15.75" customHeight="1" x14ac:dyDescent="0.25">
      <c r="C4" s="1"/>
    </row>
    <row r="5" spans="2:9" ht="15.75" customHeight="1" x14ac:dyDescent="0.25">
      <c r="B5" s="14"/>
      <c r="C5" s="15" t="s">
        <v>99</v>
      </c>
      <c r="D5" s="15" t="s">
        <v>251</v>
      </c>
      <c r="E5" s="15" t="s">
        <v>252</v>
      </c>
      <c r="F5" s="15" t="s">
        <v>253</v>
      </c>
      <c r="G5" s="22"/>
      <c r="H5" s="22"/>
      <c r="I5" s="22"/>
    </row>
    <row r="6" spans="2:9" ht="15.75" customHeight="1" x14ac:dyDescent="0.25">
      <c r="C6" s="1"/>
    </row>
    <row r="7" spans="2:9" ht="15.75" customHeight="1" x14ac:dyDescent="0.25">
      <c r="B7" s="22" t="s">
        <v>297</v>
      </c>
      <c r="C7" s="31" t="s">
        <v>33</v>
      </c>
      <c r="D7" s="2">
        <f>'5Y – Results'!C19</f>
        <v>-226022.50750000001</v>
      </c>
      <c r="E7" s="2">
        <f>'5Y – Results'!D19</f>
        <v>15973708.200617205</v>
      </c>
      <c r="F7" s="2">
        <f>'5Y – Results'!E19</f>
        <v>40513952.801525332</v>
      </c>
    </row>
    <row r="8" spans="2:9" ht="15.75" customHeight="1" x14ac:dyDescent="0.25">
      <c r="B8" s="22" t="s">
        <v>264</v>
      </c>
      <c r="C8" s="31" t="s">
        <v>33</v>
      </c>
      <c r="D8" s="2">
        <v>0</v>
      </c>
      <c r="E8" s="2">
        <v>0</v>
      </c>
      <c r="F8" s="2">
        <v>0</v>
      </c>
    </row>
    <row r="9" spans="2:9" ht="15.75" customHeight="1" x14ac:dyDescent="0.25">
      <c r="B9" s="32" t="s">
        <v>298</v>
      </c>
      <c r="C9" s="33" t="s">
        <v>33</v>
      </c>
      <c r="D9" s="35">
        <v>-25000</v>
      </c>
      <c r="E9" s="35">
        <v>-50000</v>
      </c>
      <c r="F9" s="35">
        <v>-75000</v>
      </c>
    </row>
    <row r="10" spans="2:9" ht="15.75" customHeight="1" x14ac:dyDescent="0.25">
      <c r="B10" s="40" t="s">
        <v>299</v>
      </c>
      <c r="C10" s="41" t="s">
        <v>33</v>
      </c>
      <c r="D10" s="42">
        <f>SUM(D7:D9)</f>
        <v>-251022.50750000001</v>
      </c>
      <c r="E10" s="42">
        <f>SUM(E7:E9)</f>
        <v>15923708.200617205</v>
      </c>
      <c r="F10" s="42">
        <f>SUM(F7:F9)</f>
        <v>40438952.801525332</v>
      </c>
    </row>
    <row r="11" spans="2:9" ht="15.75" customHeight="1" x14ac:dyDescent="0.25">
      <c r="B11" s="22" t="s">
        <v>300</v>
      </c>
      <c r="C11" s="31" t="s">
        <v>33</v>
      </c>
      <c r="D11" s="2">
        <v>0</v>
      </c>
      <c r="E11" s="2">
        <v>0</v>
      </c>
      <c r="F11" s="2">
        <v>0</v>
      </c>
    </row>
    <row r="12" spans="2:9" ht="15.75" customHeight="1" x14ac:dyDescent="0.25">
      <c r="B12" s="22" t="s">
        <v>301</v>
      </c>
      <c r="C12" s="31" t="s">
        <v>33</v>
      </c>
      <c r="D12" s="2">
        <v>0</v>
      </c>
      <c r="E12" s="2">
        <v>0</v>
      </c>
      <c r="F12" s="2">
        <v>0</v>
      </c>
    </row>
    <row r="13" spans="2:9" ht="15.75" customHeight="1" x14ac:dyDescent="0.25">
      <c r="B13" s="40" t="s">
        <v>302</v>
      </c>
      <c r="C13" s="41" t="s">
        <v>33</v>
      </c>
      <c r="D13" s="42">
        <f>SUM(D11:D12)</f>
        <v>0</v>
      </c>
      <c r="E13" s="42">
        <f>SUM(E11:E12)</f>
        <v>0</v>
      </c>
      <c r="F13" s="42">
        <f>SUM(F11:F12)</f>
        <v>0</v>
      </c>
    </row>
    <row r="14" spans="2:9" ht="15.75" customHeight="1" x14ac:dyDescent="0.25">
      <c r="B14" s="22" t="s">
        <v>303</v>
      </c>
      <c r="C14" s="31" t="s">
        <v>33</v>
      </c>
      <c r="D14" s="2">
        <f>Financing!D11</f>
        <v>642205</v>
      </c>
      <c r="E14" s="2">
        <f>Financing!E11</f>
        <v>0</v>
      </c>
      <c r="F14" s="2">
        <f>Financing!F11</f>
        <v>0</v>
      </c>
    </row>
    <row r="15" spans="2:9" ht="15.75" customHeight="1" x14ac:dyDescent="0.25">
      <c r="B15" s="22" t="s">
        <v>290</v>
      </c>
      <c r="C15" s="31" t="s">
        <v>33</v>
      </c>
      <c r="D15" s="2">
        <f>-Financing!D14</f>
        <v>-23437.5</v>
      </c>
      <c r="E15" s="2">
        <f>-Financing!E14</f>
        <v>-603125</v>
      </c>
      <c r="F15" s="2">
        <f>-Financing!F14</f>
        <v>0</v>
      </c>
    </row>
    <row r="16" spans="2:9" ht="15.75" customHeight="1" x14ac:dyDescent="0.25">
      <c r="B16" s="40" t="s">
        <v>294</v>
      </c>
      <c r="C16" s="41" t="s">
        <v>33</v>
      </c>
      <c r="D16" s="42">
        <f>SUM(D14:D15)</f>
        <v>618767.5</v>
      </c>
      <c r="E16" s="42">
        <f>SUM(E14:E15)</f>
        <v>-603125</v>
      </c>
      <c r="F16" s="42">
        <f>SUM(F14:F15)</f>
        <v>0</v>
      </c>
    </row>
    <row r="17" spans="2:6" ht="15.75" customHeight="1" x14ac:dyDescent="0.25">
      <c r="B17" s="299" t="s">
        <v>304</v>
      </c>
      <c r="C17" s="41" t="s">
        <v>33</v>
      </c>
      <c r="D17" s="42">
        <f>SUM(D10,D13)</f>
        <v>-251022.50750000001</v>
      </c>
      <c r="E17" s="42">
        <f>SUM(E10,E13)</f>
        <v>15923708.200617205</v>
      </c>
      <c r="F17" s="42">
        <f>SUM(F10,F13)</f>
        <v>40438952.801525332</v>
      </c>
    </row>
    <row r="18" spans="2:6" ht="15.75" customHeight="1" x14ac:dyDescent="0.25">
      <c r="B18" s="302" t="s">
        <v>305</v>
      </c>
      <c r="C18" s="43" t="s">
        <v>33</v>
      </c>
      <c r="D18" s="44">
        <f>'5Y – Results'!C29</f>
        <v>367744.98</v>
      </c>
      <c r="E18" s="44">
        <f>'5Y – Results'!D29</f>
        <v>15320583.199999999</v>
      </c>
      <c r="F18" s="44">
        <f>'5Y – Results'!E29</f>
        <v>40438952.799999997</v>
      </c>
    </row>
    <row r="19" spans="2:6" ht="15.75" customHeight="1" x14ac:dyDescent="0.25">
      <c r="B19" s="1" t="s">
        <v>306</v>
      </c>
      <c r="C19" s="45" t="s">
        <v>33</v>
      </c>
      <c r="D19" s="2">
        <f>0</f>
        <v>0</v>
      </c>
      <c r="E19" s="2">
        <f>D20</f>
        <v>367744.98</v>
      </c>
      <c r="F19" s="2">
        <f>E20</f>
        <v>15688328.18</v>
      </c>
    </row>
    <row r="20" spans="2:6" ht="15.75" customHeight="1" x14ac:dyDescent="0.25">
      <c r="B20" s="40" t="s">
        <v>296</v>
      </c>
      <c r="C20" s="41" t="s">
        <v>33</v>
      </c>
      <c r="D20" s="42">
        <f>'5Y – Results'!C31</f>
        <v>367744.98</v>
      </c>
      <c r="E20" s="42">
        <f>'5Y – Results'!D31</f>
        <v>15688328.18</v>
      </c>
      <c r="F20" s="42">
        <f>'5Y – Results'!E31</f>
        <v>56127280.979999997</v>
      </c>
    </row>
    <row r="21" spans="2:6" ht="8.4" customHeight="1" x14ac:dyDescent="0.25">
      <c r="C21" s="1"/>
      <c r="D21" s="2"/>
      <c r="E21" s="2"/>
      <c r="F21" s="2"/>
    </row>
    <row r="22" spans="2:6" ht="8.4" customHeight="1" x14ac:dyDescent="0.25">
      <c r="D22" s="2"/>
      <c r="E22" s="2"/>
      <c r="F22" s="2"/>
    </row>
    <row r="23" spans="2:6" ht="8.4" customHeight="1" x14ac:dyDescent="0.25">
      <c r="D23" s="2"/>
      <c r="E23" s="2"/>
      <c r="F23" s="2"/>
    </row>
    <row r="24" spans="2:6" ht="10.5" customHeight="1" x14ac:dyDescent="0.25"/>
    <row r="25" spans="2:6" ht="10.5" customHeight="1" x14ac:dyDescent="0.25"/>
    <row r="26" spans="2:6" ht="10.5" customHeight="1" x14ac:dyDescent="0.25"/>
    <row r="27" spans="2:6" ht="10.5" customHeight="1" x14ac:dyDescent="0.25"/>
    <row r="28" spans="2:6" ht="10.5" customHeight="1" x14ac:dyDescent="0.25"/>
    <row r="29" spans="2:6" ht="10.5" customHeight="1" x14ac:dyDescent="0.25"/>
    <row r="30" spans="2:6" ht="10.5" customHeight="1" x14ac:dyDescent="0.25"/>
    <row r="31" spans="2:6" ht="10.5" customHeight="1" x14ac:dyDescent="0.25"/>
    <row r="32" spans="2:6" ht="10.5" customHeight="1" x14ac:dyDescent="0.25"/>
    <row r="33" ht="10.5" customHeight="1" x14ac:dyDescent="0.25"/>
    <row r="34" ht="10.5" customHeight="1" x14ac:dyDescent="0.25"/>
    <row r="35" ht="10.5" customHeight="1" x14ac:dyDescent="0.25"/>
    <row r="36" ht="10.5" customHeight="1" x14ac:dyDescent="0.25"/>
    <row r="37" ht="10.5" customHeight="1" x14ac:dyDescent="0.25"/>
    <row r="38" ht="10.5" customHeight="1" x14ac:dyDescent="0.25"/>
    <row r="39" ht="10.5" customHeight="1" x14ac:dyDescent="0.25"/>
    <row r="40" ht="10.5" customHeight="1" x14ac:dyDescent="0.25"/>
    <row r="41" ht="10.5" customHeight="1" x14ac:dyDescent="0.25"/>
    <row r="42" ht="10.5" customHeight="1" x14ac:dyDescent="0.25"/>
    <row r="43" ht="10.5" customHeight="1" x14ac:dyDescent="0.25"/>
    <row r="44" ht="10.5" customHeight="1" x14ac:dyDescent="0.25"/>
    <row r="45" ht="10.5" customHeight="1" x14ac:dyDescent="0.25"/>
    <row r="46" ht="10.5" customHeight="1" x14ac:dyDescent="0.25"/>
    <row r="47" ht="10.5" customHeight="1" x14ac:dyDescent="0.25"/>
    <row r="48" ht="10.5" customHeight="1" x14ac:dyDescent="0.25"/>
    <row r="49" ht="10.5" customHeight="1" x14ac:dyDescent="0.25"/>
    <row r="50" ht="10.5" customHeight="1" x14ac:dyDescent="0.25"/>
    <row r="51" ht="10.5" customHeight="1" x14ac:dyDescent="0.25"/>
    <row r="52" ht="10.5" customHeight="1" x14ac:dyDescent="0.25"/>
    <row r="53" ht="10.5" customHeight="1" x14ac:dyDescent="0.25"/>
    <row r="54" ht="10.5" customHeight="1" x14ac:dyDescent="0.25"/>
    <row r="55" ht="10.5" customHeight="1" x14ac:dyDescent="0.25"/>
    <row r="56" ht="10.5" customHeight="1" x14ac:dyDescent="0.25"/>
    <row r="57" ht="10.5" customHeight="1" x14ac:dyDescent="0.25"/>
    <row r="58" ht="10.5" customHeight="1" x14ac:dyDescent="0.25"/>
    <row r="59" ht="10.5" customHeight="1" x14ac:dyDescent="0.25"/>
    <row r="60" ht="10.5" customHeight="1" x14ac:dyDescent="0.25"/>
    <row r="61" ht="10.5" customHeight="1" x14ac:dyDescent="0.25"/>
    <row r="62" ht="10.5" customHeight="1" x14ac:dyDescent="0.25"/>
    <row r="63" ht="10.5" customHeight="1" x14ac:dyDescent="0.25"/>
    <row r="64" ht="10.5" customHeight="1" x14ac:dyDescent="0.25"/>
    <row r="65" ht="10.5" customHeight="1" x14ac:dyDescent="0.25"/>
    <row r="66" ht="10.5" customHeight="1" x14ac:dyDescent="0.25"/>
    <row r="67" ht="10.5" customHeight="1" x14ac:dyDescent="0.25"/>
    <row r="68" ht="10.5" customHeight="1" x14ac:dyDescent="0.25"/>
    <row r="69" ht="10.5" customHeight="1" x14ac:dyDescent="0.25"/>
    <row r="70" ht="10.5" customHeight="1" x14ac:dyDescent="0.25"/>
    <row r="71" ht="10.5" customHeight="1" x14ac:dyDescent="0.25"/>
    <row r="72" ht="10.5" customHeight="1" x14ac:dyDescent="0.25"/>
    <row r="73" ht="10.5" customHeight="1" x14ac:dyDescent="0.25"/>
    <row r="74" ht="10.5" customHeight="1" x14ac:dyDescent="0.25"/>
    <row r="75" ht="10.5" customHeight="1" x14ac:dyDescent="0.25"/>
    <row r="76" ht="10.5" customHeight="1" x14ac:dyDescent="0.25"/>
    <row r="77" ht="10.5" customHeight="1" x14ac:dyDescent="0.25"/>
    <row r="78" ht="10.5" customHeight="1" x14ac:dyDescent="0.25"/>
    <row r="79" ht="10.5" customHeight="1" x14ac:dyDescent="0.25"/>
    <row r="80" ht="10.5" customHeight="1" x14ac:dyDescent="0.25"/>
    <row r="81" ht="10.5" customHeight="1" x14ac:dyDescent="0.25"/>
    <row r="82" ht="10.5" customHeight="1" x14ac:dyDescent="0.25"/>
    <row r="83" ht="10.5" customHeight="1" x14ac:dyDescent="0.25"/>
    <row r="84" ht="10.5" customHeight="1" x14ac:dyDescent="0.25"/>
    <row r="85" ht="10.5" customHeight="1" x14ac:dyDescent="0.25"/>
    <row r="86" ht="10.5" customHeight="1" x14ac:dyDescent="0.25"/>
    <row r="87" ht="10.5" customHeight="1" x14ac:dyDescent="0.25"/>
    <row r="88" ht="10.5" customHeight="1" x14ac:dyDescent="0.25"/>
    <row r="89" ht="10.5" customHeight="1" x14ac:dyDescent="0.25"/>
    <row r="90" ht="10.5" customHeight="1" x14ac:dyDescent="0.25"/>
    <row r="91" ht="10.5" customHeight="1" x14ac:dyDescent="0.25"/>
    <row r="92" ht="10.5" customHeight="1" x14ac:dyDescent="0.25"/>
    <row r="93" ht="10.5" customHeight="1" x14ac:dyDescent="0.25"/>
    <row r="94" ht="10.5" customHeight="1" x14ac:dyDescent="0.25"/>
    <row r="95" ht="10.5" customHeight="1" x14ac:dyDescent="0.25"/>
    <row r="96" ht="10.5" customHeight="1" x14ac:dyDescent="0.25"/>
    <row r="97" ht="10.5" customHeight="1" x14ac:dyDescent="0.25"/>
    <row r="98" ht="10.5" customHeight="1" x14ac:dyDescent="0.25"/>
    <row r="99" ht="10.5" customHeight="1" x14ac:dyDescent="0.25"/>
    <row r="100" ht="10.5" customHeight="1" x14ac:dyDescent="0.25"/>
    <row r="101" ht="10.5" customHeight="1" x14ac:dyDescent="0.25"/>
    <row r="102" ht="10.5" customHeight="1" x14ac:dyDescent="0.25"/>
    <row r="103" ht="10.5" customHeight="1" x14ac:dyDescent="0.25"/>
    <row r="104" ht="10.5" customHeight="1" x14ac:dyDescent="0.25"/>
    <row r="105" ht="10.5" customHeight="1" x14ac:dyDescent="0.25"/>
    <row r="106" ht="10.5" customHeight="1" x14ac:dyDescent="0.25"/>
    <row r="107" ht="10.5" customHeight="1" x14ac:dyDescent="0.25"/>
    <row r="108" ht="10.5" customHeight="1" x14ac:dyDescent="0.25"/>
    <row r="109" ht="10.5" customHeight="1" x14ac:dyDescent="0.25"/>
    <row r="110" ht="10.5" customHeight="1" x14ac:dyDescent="0.25"/>
    <row r="111" ht="10.5" customHeight="1" x14ac:dyDescent="0.25"/>
    <row r="112" ht="10.5" customHeight="1" x14ac:dyDescent="0.25"/>
    <row r="113" ht="10.5" customHeight="1" x14ac:dyDescent="0.25"/>
    <row r="114" ht="10.5" customHeight="1" x14ac:dyDescent="0.25"/>
    <row r="115" ht="10.5" customHeight="1" x14ac:dyDescent="0.25"/>
    <row r="116" ht="10.5" customHeight="1" x14ac:dyDescent="0.25"/>
    <row r="117" ht="10.5" customHeight="1" x14ac:dyDescent="0.25"/>
    <row r="118" ht="10.5" customHeight="1" x14ac:dyDescent="0.25"/>
    <row r="119" ht="10.5" customHeight="1" x14ac:dyDescent="0.25"/>
    <row r="120" ht="10.5" customHeight="1" x14ac:dyDescent="0.25"/>
    <row r="121" ht="10.5" customHeight="1" x14ac:dyDescent="0.25"/>
    <row r="122" ht="10.5" customHeight="1" x14ac:dyDescent="0.25"/>
    <row r="123" ht="10.5" customHeight="1" x14ac:dyDescent="0.25"/>
    <row r="124" ht="10.5" customHeight="1" x14ac:dyDescent="0.25"/>
    <row r="125" ht="10.5" customHeight="1" x14ac:dyDescent="0.25"/>
    <row r="126" ht="10.5" customHeight="1" x14ac:dyDescent="0.25"/>
    <row r="127" ht="10.5" customHeight="1" x14ac:dyDescent="0.25"/>
    <row r="128" ht="10.5" customHeight="1" x14ac:dyDescent="0.25"/>
    <row r="129" ht="10.5" customHeight="1" x14ac:dyDescent="0.25"/>
    <row r="130" ht="10.5" customHeight="1" x14ac:dyDescent="0.25"/>
    <row r="131" ht="10.5" customHeight="1" x14ac:dyDescent="0.25"/>
    <row r="132" ht="10.5" customHeight="1" x14ac:dyDescent="0.25"/>
    <row r="133" ht="10.5" customHeight="1" x14ac:dyDescent="0.25"/>
    <row r="134" ht="10.5" customHeight="1" x14ac:dyDescent="0.25"/>
    <row r="135" ht="10.5" customHeight="1" x14ac:dyDescent="0.25"/>
    <row r="136" ht="10.5" customHeight="1" x14ac:dyDescent="0.25"/>
    <row r="137" ht="10.5" customHeight="1" x14ac:dyDescent="0.25"/>
    <row r="138" ht="10.5" customHeight="1" x14ac:dyDescent="0.25"/>
    <row r="139" ht="10.5" customHeight="1" x14ac:dyDescent="0.25"/>
    <row r="140" ht="10.5" customHeight="1" x14ac:dyDescent="0.25"/>
    <row r="141" ht="10.5" customHeight="1" x14ac:dyDescent="0.25"/>
    <row r="142" ht="10.5" customHeight="1" x14ac:dyDescent="0.25"/>
    <row r="143" ht="10.5" customHeight="1" x14ac:dyDescent="0.25"/>
    <row r="144" ht="10.5" customHeight="1" x14ac:dyDescent="0.25"/>
    <row r="145" ht="10.5" customHeight="1" x14ac:dyDescent="0.25"/>
    <row r="146" ht="10.5" customHeight="1" x14ac:dyDescent="0.25"/>
    <row r="147" ht="10.5" customHeight="1" x14ac:dyDescent="0.25"/>
    <row r="148" ht="10.5" customHeight="1" x14ac:dyDescent="0.25"/>
    <row r="149" ht="10.5" customHeight="1" x14ac:dyDescent="0.25"/>
    <row r="150" ht="10.5" customHeight="1" x14ac:dyDescent="0.25"/>
    <row r="151" ht="10.5" customHeight="1" x14ac:dyDescent="0.25"/>
    <row r="152" ht="10.5" customHeight="1" x14ac:dyDescent="0.25"/>
    <row r="153" ht="10.5" customHeight="1" x14ac:dyDescent="0.25"/>
    <row r="154" ht="10.5" customHeight="1" x14ac:dyDescent="0.25"/>
    <row r="155" ht="10.5" customHeight="1" x14ac:dyDescent="0.25"/>
    <row r="156" ht="10.5" customHeight="1" x14ac:dyDescent="0.25"/>
    <row r="157" ht="10.5" customHeight="1" x14ac:dyDescent="0.25"/>
    <row r="158" ht="10.5" customHeight="1" x14ac:dyDescent="0.25"/>
    <row r="159" ht="10.5" customHeight="1" x14ac:dyDescent="0.25"/>
    <row r="160" ht="10.5" customHeight="1" x14ac:dyDescent="0.25"/>
    <row r="161" ht="10.5" customHeight="1" x14ac:dyDescent="0.25"/>
    <row r="162" ht="10.5" customHeight="1" x14ac:dyDescent="0.25"/>
    <row r="163" ht="10.5" customHeight="1" x14ac:dyDescent="0.25"/>
    <row r="164" ht="10.5" customHeight="1" x14ac:dyDescent="0.25"/>
    <row r="165" ht="10.5" customHeight="1" x14ac:dyDescent="0.25"/>
    <row r="166" ht="10.5" customHeight="1" x14ac:dyDescent="0.25"/>
    <row r="167" ht="10.5" customHeight="1" x14ac:dyDescent="0.25"/>
    <row r="168" ht="10.5" customHeight="1" x14ac:dyDescent="0.25"/>
    <row r="169" ht="10.5" customHeight="1" x14ac:dyDescent="0.25"/>
    <row r="170" ht="10.5" customHeight="1" x14ac:dyDescent="0.25"/>
    <row r="171" ht="10.5" customHeight="1" x14ac:dyDescent="0.25"/>
    <row r="172" ht="10.5" customHeight="1" x14ac:dyDescent="0.25"/>
    <row r="173" ht="10.5" customHeight="1" x14ac:dyDescent="0.25"/>
    <row r="174" ht="10.5" customHeight="1" x14ac:dyDescent="0.25"/>
    <row r="175" ht="10.5" customHeight="1" x14ac:dyDescent="0.25"/>
    <row r="176" ht="10.5" customHeight="1" x14ac:dyDescent="0.25"/>
    <row r="177" ht="10.5" customHeight="1" x14ac:dyDescent="0.25"/>
    <row r="178" ht="10.5" customHeight="1" x14ac:dyDescent="0.25"/>
    <row r="179" ht="10.5" customHeight="1" x14ac:dyDescent="0.25"/>
    <row r="180" ht="10.5" customHeight="1" x14ac:dyDescent="0.25"/>
    <row r="181" ht="10.5" customHeight="1" x14ac:dyDescent="0.25"/>
    <row r="182" ht="10.5" customHeight="1" x14ac:dyDescent="0.25"/>
    <row r="183" ht="10.5" customHeight="1" x14ac:dyDescent="0.25"/>
    <row r="184" ht="10.5" customHeight="1" x14ac:dyDescent="0.25"/>
    <row r="185" ht="10.5" customHeight="1" x14ac:dyDescent="0.25"/>
    <row r="186" ht="10.5" customHeight="1" x14ac:dyDescent="0.25"/>
    <row r="187" ht="10.5" customHeight="1" x14ac:dyDescent="0.25"/>
    <row r="188" ht="10.5" customHeight="1" x14ac:dyDescent="0.25"/>
    <row r="189" ht="10.5" customHeight="1" x14ac:dyDescent="0.25"/>
    <row r="190" ht="10.5" customHeight="1" x14ac:dyDescent="0.25"/>
    <row r="191" ht="10.5" customHeight="1" x14ac:dyDescent="0.25"/>
    <row r="192" ht="10.5" customHeight="1" x14ac:dyDescent="0.25"/>
    <row r="193" ht="10.5" customHeight="1" x14ac:dyDescent="0.25"/>
    <row r="194" ht="10.5" customHeight="1" x14ac:dyDescent="0.25"/>
    <row r="195" ht="10.5" customHeight="1" x14ac:dyDescent="0.25"/>
    <row r="196" ht="10.5" customHeight="1" x14ac:dyDescent="0.25"/>
    <row r="197" ht="10.5" customHeight="1" x14ac:dyDescent="0.25"/>
    <row r="198" ht="10.5" customHeight="1" x14ac:dyDescent="0.25"/>
    <row r="199" ht="10.5" customHeight="1" x14ac:dyDescent="0.25"/>
    <row r="200" ht="10.5" customHeight="1" x14ac:dyDescent="0.25"/>
    <row r="201" ht="10.5" customHeight="1" x14ac:dyDescent="0.25"/>
    <row r="202" ht="10.5" customHeight="1" x14ac:dyDescent="0.25"/>
    <row r="203" ht="10.5" customHeight="1" x14ac:dyDescent="0.25"/>
    <row r="204" ht="10.5" customHeight="1" x14ac:dyDescent="0.25"/>
    <row r="205" ht="10.5" customHeight="1" x14ac:dyDescent="0.25"/>
    <row r="206" ht="10.5" customHeight="1" x14ac:dyDescent="0.25"/>
    <row r="207" ht="10.5" customHeight="1" x14ac:dyDescent="0.25"/>
    <row r="208" ht="10.5" customHeight="1" x14ac:dyDescent="0.25"/>
    <row r="209" ht="10.5" customHeight="1" x14ac:dyDescent="0.25"/>
    <row r="210" ht="10.5" customHeight="1" x14ac:dyDescent="0.25"/>
    <row r="211" ht="10.5" customHeight="1" x14ac:dyDescent="0.25"/>
    <row r="212" ht="10.5" customHeight="1" x14ac:dyDescent="0.25"/>
    <row r="213" ht="10.5" customHeight="1" x14ac:dyDescent="0.25"/>
    <row r="214" ht="10.5" customHeight="1" x14ac:dyDescent="0.25"/>
    <row r="215" ht="10.5" customHeight="1" x14ac:dyDescent="0.25"/>
    <row r="216" ht="10.5" customHeight="1" x14ac:dyDescent="0.25"/>
    <row r="217" ht="10.5" customHeight="1" x14ac:dyDescent="0.25"/>
    <row r="218" ht="10.5" customHeight="1" x14ac:dyDescent="0.25"/>
    <row r="219" ht="10.5" customHeight="1" x14ac:dyDescent="0.25"/>
    <row r="220" ht="10.5" customHeight="1" x14ac:dyDescent="0.25"/>
    <row r="221" ht="10.5" customHeight="1" x14ac:dyDescent="0.25"/>
    <row r="222" ht="10.5" customHeight="1" x14ac:dyDescent="0.25"/>
    <row r="223" ht="10.5" customHeight="1" x14ac:dyDescent="0.25"/>
    <row r="224" ht="10.5" customHeight="1" x14ac:dyDescent="0.25"/>
    <row r="225" ht="10.5" customHeight="1" x14ac:dyDescent="0.25"/>
    <row r="226" ht="10.5" customHeight="1" x14ac:dyDescent="0.25"/>
    <row r="227" ht="10.5" customHeight="1" x14ac:dyDescent="0.25"/>
    <row r="228" ht="10.5" customHeight="1" x14ac:dyDescent="0.25"/>
    <row r="229" ht="10.5" customHeight="1" x14ac:dyDescent="0.25"/>
    <row r="230" ht="10.5" customHeight="1" x14ac:dyDescent="0.25"/>
    <row r="231" ht="10.5" customHeight="1" x14ac:dyDescent="0.25"/>
    <row r="232" ht="10.5" customHeight="1" x14ac:dyDescent="0.25"/>
    <row r="233" ht="10.5" customHeight="1" x14ac:dyDescent="0.25"/>
    <row r="234" ht="10.5" customHeight="1" x14ac:dyDescent="0.25"/>
    <row r="235" ht="10.5" customHeight="1" x14ac:dyDescent="0.25"/>
    <row r="236" ht="10.5" customHeight="1" x14ac:dyDescent="0.25"/>
    <row r="237" ht="10.5" customHeight="1" x14ac:dyDescent="0.25"/>
    <row r="238" ht="10.5" customHeight="1" x14ac:dyDescent="0.25"/>
    <row r="239" ht="10.5" customHeight="1" x14ac:dyDescent="0.25"/>
    <row r="240" ht="10.5" customHeight="1" x14ac:dyDescent="0.25"/>
    <row r="241" ht="10.5" customHeight="1" x14ac:dyDescent="0.25"/>
    <row r="242" ht="10.5" customHeight="1" x14ac:dyDescent="0.25"/>
    <row r="243" ht="10.5" customHeight="1" x14ac:dyDescent="0.25"/>
    <row r="244" ht="10.5" customHeight="1" x14ac:dyDescent="0.25"/>
    <row r="245" ht="10.5" customHeight="1" x14ac:dyDescent="0.25"/>
    <row r="246" ht="10.5" customHeight="1" x14ac:dyDescent="0.25"/>
    <row r="247" ht="10.5" customHeight="1" x14ac:dyDescent="0.25"/>
    <row r="248" ht="10.5" customHeight="1" x14ac:dyDescent="0.25"/>
    <row r="249" ht="10.5" customHeight="1" x14ac:dyDescent="0.25"/>
    <row r="250" ht="10.5" customHeight="1" x14ac:dyDescent="0.25"/>
    <row r="251" ht="10.5" customHeight="1" x14ac:dyDescent="0.25"/>
    <row r="252" ht="10.5" customHeight="1" x14ac:dyDescent="0.25"/>
    <row r="253" ht="10.5" customHeight="1" x14ac:dyDescent="0.25"/>
    <row r="254" ht="10.5" customHeight="1" x14ac:dyDescent="0.25"/>
    <row r="255" ht="10.5" customHeight="1" x14ac:dyDescent="0.25"/>
    <row r="256" ht="10.5" customHeight="1" x14ac:dyDescent="0.25"/>
    <row r="257" ht="10.5" customHeight="1" x14ac:dyDescent="0.25"/>
    <row r="258" ht="10.5" customHeight="1" x14ac:dyDescent="0.25"/>
    <row r="259" ht="10.5" customHeight="1" x14ac:dyDescent="0.25"/>
    <row r="260" ht="10.5" customHeight="1" x14ac:dyDescent="0.25"/>
    <row r="261" ht="10.5" customHeight="1" x14ac:dyDescent="0.25"/>
    <row r="262" ht="10.5" customHeight="1" x14ac:dyDescent="0.25"/>
    <row r="263" ht="10.5" customHeight="1" x14ac:dyDescent="0.25"/>
    <row r="264" ht="10.5" customHeight="1" x14ac:dyDescent="0.25"/>
    <row r="265" ht="10.5" customHeight="1" x14ac:dyDescent="0.25"/>
    <row r="266" ht="10.5" customHeight="1" x14ac:dyDescent="0.25"/>
    <row r="267" ht="10.5" customHeight="1" x14ac:dyDescent="0.25"/>
    <row r="268" ht="10.5" customHeight="1" x14ac:dyDescent="0.25"/>
    <row r="269" ht="10.5" customHeight="1" x14ac:dyDescent="0.25"/>
    <row r="270" ht="10.5" customHeight="1" x14ac:dyDescent="0.25"/>
    <row r="271" ht="10.5" customHeight="1" x14ac:dyDescent="0.25"/>
    <row r="272" ht="10.5" customHeight="1" x14ac:dyDescent="0.25"/>
    <row r="273" ht="10.5" customHeight="1" x14ac:dyDescent="0.25"/>
    <row r="274" ht="10.5" customHeight="1" x14ac:dyDescent="0.25"/>
    <row r="275" ht="10.5" customHeight="1" x14ac:dyDescent="0.25"/>
    <row r="276" ht="10.5" customHeight="1" x14ac:dyDescent="0.25"/>
    <row r="277" ht="10.5" customHeight="1" x14ac:dyDescent="0.25"/>
    <row r="278" ht="10.5" customHeight="1" x14ac:dyDescent="0.25"/>
    <row r="279" ht="10.5" customHeight="1" x14ac:dyDescent="0.25"/>
    <row r="280" ht="10.5" customHeight="1" x14ac:dyDescent="0.25"/>
    <row r="281" ht="10.5" customHeight="1" x14ac:dyDescent="0.25"/>
    <row r="282" ht="10.5" customHeight="1" x14ac:dyDescent="0.25"/>
    <row r="283" ht="10.5" customHeight="1" x14ac:dyDescent="0.25"/>
    <row r="284" ht="10.5" customHeight="1" x14ac:dyDescent="0.25"/>
    <row r="285" ht="10.5" customHeight="1" x14ac:dyDescent="0.25"/>
    <row r="286" ht="10.5" customHeight="1" x14ac:dyDescent="0.25"/>
    <row r="287" ht="10.5" customHeight="1" x14ac:dyDescent="0.25"/>
    <row r="288" ht="10.5" customHeight="1" x14ac:dyDescent="0.25"/>
    <row r="289" ht="10.5" customHeight="1" x14ac:dyDescent="0.25"/>
    <row r="290" ht="10.5" customHeight="1" x14ac:dyDescent="0.25"/>
    <row r="291" ht="10.5" customHeight="1" x14ac:dyDescent="0.25"/>
    <row r="292" ht="10.5" customHeight="1" x14ac:dyDescent="0.25"/>
    <row r="293" ht="10.5" customHeight="1" x14ac:dyDescent="0.25"/>
    <row r="294" ht="10.5" customHeight="1" x14ac:dyDescent="0.25"/>
    <row r="295" ht="10.5" customHeight="1" x14ac:dyDescent="0.25"/>
    <row r="296" ht="10.5" customHeight="1" x14ac:dyDescent="0.25"/>
    <row r="297" ht="10.5" customHeight="1" x14ac:dyDescent="0.25"/>
    <row r="298" ht="10.5" customHeight="1" x14ac:dyDescent="0.25"/>
    <row r="299" ht="10.5" customHeight="1" x14ac:dyDescent="0.25"/>
    <row r="300" ht="10.5" customHeight="1" x14ac:dyDescent="0.25"/>
    <row r="301" ht="10.5" customHeight="1" x14ac:dyDescent="0.25"/>
    <row r="302" ht="10.5" customHeight="1" x14ac:dyDescent="0.25"/>
    <row r="303" ht="10.5" customHeight="1" x14ac:dyDescent="0.25"/>
    <row r="304" ht="10.5" customHeight="1" x14ac:dyDescent="0.25"/>
    <row r="305" ht="10.5" customHeight="1" x14ac:dyDescent="0.25"/>
    <row r="306" ht="10.5" customHeight="1" x14ac:dyDescent="0.25"/>
    <row r="307" ht="10.5" customHeight="1" x14ac:dyDescent="0.25"/>
    <row r="308" ht="10.5" customHeight="1" x14ac:dyDescent="0.25"/>
    <row r="309" ht="10.5" customHeight="1" x14ac:dyDescent="0.25"/>
    <row r="310" ht="10.5" customHeight="1" x14ac:dyDescent="0.25"/>
    <row r="311" ht="10.5" customHeight="1" x14ac:dyDescent="0.25"/>
    <row r="312" ht="10.5" customHeight="1" x14ac:dyDescent="0.25"/>
    <row r="313" ht="10.5" customHeight="1" x14ac:dyDescent="0.25"/>
    <row r="314" ht="10.5" customHeight="1" x14ac:dyDescent="0.25"/>
    <row r="315" ht="10.5" customHeight="1" x14ac:dyDescent="0.25"/>
    <row r="316" ht="10.5" customHeight="1" x14ac:dyDescent="0.25"/>
    <row r="317" ht="10.5" customHeight="1" x14ac:dyDescent="0.25"/>
    <row r="318" ht="10.5" customHeight="1" x14ac:dyDescent="0.25"/>
    <row r="319" ht="10.5" customHeight="1" x14ac:dyDescent="0.25"/>
    <row r="320" ht="10.5" customHeight="1" x14ac:dyDescent="0.25"/>
    <row r="321" ht="10.5" customHeight="1" x14ac:dyDescent="0.25"/>
    <row r="322" ht="10.5" customHeight="1" x14ac:dyDescent="0.25"/>
    <row r="323" ht="10.5" customHeight="1" x14ac:dyDescent="0.25"/>
    <row r="324" ht="10.5" customHeight="1" x14ac:dyDescent="0.25"/>
    <row r="325" ht="10.5" customHeight="1" x14ac:dyDescent="0.25"/>
    <row r="326" ht="10.5" customHeight="1" x14ac:dyDescent="0.25"/>
    <row r="327" ht="10.5" customHeight="1" x14ac:dyDescent="0.25"/>
    <row r="328" ht="10.5" customHeight="1" x14ac:dyDescent="0.25"/>
    <row r="329" ht="10.5" customHeight="1" x14ac:dyDescent="0.25"/>
    <row r="330" ht="10.5" customHeight="1" x14ac:dyDescent="0.25"/>
    <row r="331" ht="10.5" customHeight="1" x14ac:dyDescent="0.25"/>
    <row r="332" ht="10.5" customHeight="1" x14ac:dyDescent="0.25"/>
    <row r="333" ht="10.5" customHeight="1" x14ac:dyDescent="0.25"/>
    <row r="334" ht="10.5" customHeight="1" x14ac:dyDescent="0.25"/>
    <row r="335" ht="10.5" customHeight="1" x14ac:dyDescent="0.25"/>
    <row r="336" ht="10.5" customHeight="1" x14ac:dyDescent="0.25"/>
    <row r="337" ht="10.5" customHeight="1" x14ac:dyDescent="0.25"/>
    <row r="338" ht="10.5" customHeight="1" x14ac:dyDescent="0.25"/>
    <row r="339" ht="10.5" customHeight="1" x14ac:dyDescent="0.25"/>
    <row r="340" ht="10.5" customHeight="1" x14ac:dyDescent="0.25"/>
    <row r="341" ht="10.5" customHeight="1" x14ac:dyDescent="0.25"/>
    <row r="342" ht="10.5" customHeight="1" x14ac:dyDescent="0.25"/>
    <row r="343" ht="10.5" customHeight="1" x14ac:dyDescent="0.25"/>
    <row r="344" ht="10.5" customHeight="1" x14ac:dyDescent="0.25"/>
    <row r="345" ht="10.5" customHeight="1" x14ac:dyDescent="0.25"/>
    <row r="346" ht="10.5" customHeight="1" x14ac:dyDescent="0.25"/>
    <row r="347" ht="10.5" customHeight="1" x14ac:dyDescent="0.25"/>
    <row r="348" ht="10.5" customHeight="1" x14ac:dyDescent="0.25"/>
    <row r="349" ht="10.5" customHeight="1" x14ac:dyDescent="0.25"/>
    <row r="350" ht="10.5" customHeight="1" x14ac:dyDescent="0.25"/>
    <row r="351" ht="10.5" customHeight="1" x14ac:dyDescent="0.25"/>
    <row r="352" ht="10.5" customHeight="1" x14ac:dyDescent="0.25"/>
    <row r="353" ht="10.5" customHeight="1" x14ac:dyDescent="0.25"/>
    <row r="354" ht="10.5" customHeight="1" x14ac:dyDescent="0.25"/>
    <row r="355" ht="10.5" customHeight="1" x14ac:dyDescent="0.25"/>
    <row r="356" ht="10.5" customHeight="1" x14ac:dyDescent="0.25"/>
    <row r="357" ht="10.5" customHeight="1" x14ac:dyDescent="0.25"/>
    <row r="358" ht="10.5" customHeight="1" x14ac:dyDescent="0.25"/>
    <row r="359" ht="10.5" customHeight="1" x14ac:dyDescent="0.25"/>
    <row r="360" ht="10.5" customHeight="1" x14ac:dyDescent="0.25"/>
    <row r="361" ht="10.5" customHeight="1" x14ac:dyDescent="0.25"/>
    <row r="362" ht="10.5" customHeight="1" x14ac:dyDescent="0.25"/>
    <row r="363" ht="10.5" customHeight="1" x14ac:dyDescent="0.25"/>
    <row r="364" ht="10.5" customHeight="1" x14ac:dyDescent="0.25"/>
    <row r="365" ht="10.5" customHeight="1" x14ac:dyDescent="0.25"/>
    <row r="366" ht="10.5" customHeight="1" x14ac:dyDescent="0.25"/>
    <row r="367" ht="10.5" customHeight="1" x14ac:dyDescent="0.25"/>
    <row r="368" ht="10.5" customHeight="1" x14ac:dyDescent="0.25"/>
    <row r="369" ht="10.5" customHeight="1" x14ac:dyDescent="0.25"/>
    <row r="370" ht="10.5" customHeight="1" x14ac:dyDescent="0.25"/>
    <row r="371" ht="10.5" customHeight="1" x14ac:dyDescent="0.25"/>
    <row r="372" ht="10.5" customHeight="1" x14ac:dyDescent="0.25"/>
    <row r="373" ht="10.5" customHeight="1" x14ac:dyDescent="0.25"/>
    <row r="374" ht="10.5" customHeight="1" x14ac:dyDescent="0.25"/>
    <row r="375" ht="10.5" customHeight="1" x14ac:dyDescent="0.25"/>
    <row r="376" ht="10.5" customHeight="1" x14ac:dyDescent="0.25"/>
    <row r="377" ht="10.5" customHeight="1" x14ac:dyDescent="0.25"/>
    <row r="378" ht="10.5" customHeight="1" x14ac:dyDescent="0.25"/>
    <row r="379" ht="10.5" customHeight="1" x14ac:dyDescent="0.25"/>
    <row r="380" ht="10.5" customHeight="1" x14ac:dyDescent="0.25"/>
    <row r="381" ht="10.5" customHeight="1" x14ac:dyDescent="0.25"/>
    <row r="382" ht="10.5" customHeight="1" x14ac:dyDescent="0.25"/>
    <row r="383" ht="10.5" customHeight="1" x14ac:dyDescent="0.25"/>
    <row r="384" ht="10.5" customHeight="1" x14ac:dyDescent="0.25"/>
    <row r="385" ht="10.5" customHeight="1" x14ac:dyDescent="0.25"/>
    <row r="386" ht="10.5" customHeight="1" x14ac:dyDescent="0.25"/>
    <row r="387" ht="10.5" customHeight="1" x14ac:dyDescent="0.25"/>
    <row r="388" ht="10.5" customHeight="1" x14ac:dyDescent="0.25"/>
    <row r="389" ht="10.5" customHeight="1" x14ac:dyDescent="0.25"/>
    <row r="390" ht="10.5" customHeight="1" x14ac:dyDescent="0.25"/>
    <row r="391" ht="10.5" customHeight="1" x14ac:dyDescent="0.25"/>
    <row r="392" ht="10.5" customHeight="1" x14ac:dyDescent="0.25"/>
    <row r="393" ht="10.5" customHeight="1" x14ac:dyDescent="0.25"/>
    <row r="394" ht="10.5" customHeight="1" x14ac:dyDescent="0.25"/>
    <row r="395" ht="10.5" customHeight="1" x14ac:dyDescent="0.25"/>
    <row r="396" ht="10.5" customHeight="1" x14ac:dyDescent="0.25"/>
    <row r="397" ht="10.5" customHeight="1" x14ac:dyDescent="0.25"/>
    <row r="398" ht="10.5" customHeight="1" x14ac:dyDescent="0.25"/>
    <row r="399" ht="10.5" customHeight="1" x14ac:dyDescent="0.25"/>
    <row r="400" ht="10.5" customHeight="1" x14ac:dyDescent="0.25"/>
    <row r="401" ht="10.5" customHeight="1" x14ac:dyDescent="0.25"/>
    <row r="402" ht="10.5" customHeight="1" x14ac:dyDescent="0.25"/>
    <row r="403" ht="10.5" customHeight="1" x14ac:dyDescent="0.25"/>
    <row r="404" ht="10.5" customHeight="1" x14ac:dyDescent="0.25"/>
    <row r="405" ht="10.5" customHeight="1" x14ac:dyDescent="0.25"/>
    <row r="406" ht="10.5" customHeight="1" x14ac:dyDescent="0.25"/>
    <row r="407" ht="10.5" customHeight="1" x14ac:dyDescent="0.25"/>
    <row r="408" ht="10.5" customHeight="1" x14ac:dyDescent="0.25"/>
    <row r="409" ht="10.5" customHeight="1" x14ac:dyDescent="0.25"/>
    <row r="410" ht="10.5" customHeight="1" x14ac:dyDescent="0.25"/>
    <row r="411" ht="10.5" customHeight="1" x14ac:dyDescent="0.25"/>
    <row r="412" ht="10.5" customHeight="1" x14ac:dyDescent="0.25"/>
    <row r="413" ht="10.5" customHeight="1" x14ac:dyDescent="0.25"/>
    <row r="414" ht="10.5" customHeight="1" x14ac:dyDescent="0.25"/>
    <row r="415" ht="10.5" customHeight="1" x14ac:dyDescent="0.25"/>
    <row r="416" ht="10.5" customHeight="1" x14ac:dyDescent="0.25"/>
    <row r="417" ht="10.5" customHeight="1" x14ac:dyDescent="0.25"/>
    <row r="418" ht="10.5" customHeight="1" x14ac:dyDescent="0.25"/>
    <row r="419" ht="10.5" customHeight="1" x14ac:dyDescent="0.25"/>
    <row r="420" ht="10.5" customHeight="1" x14ac:dyDescent="0.25"/>
    <row r="421" ht="10.5" customHeight="1" x14ac:dyDescent="0.25"/>
    <row r="422" ht="10.5" customHeight="1" x14ac:dyDescent="0.25"/>
    <row r="423" ht="10.5" customHeight="1" x14ac:dyDescent="0.25"/>
    <row r="424" ht="10.5" customHeight="1" x14ac:dyDescent="0.25"/>
    <row r="425" ht="10.5" customHeight="1" x14ac:dyDescent="0.25"/>
    <row r="426" ht="10.5" customHeight="1" x14ac:dyDescent="0.25"/>
    <row r="427" ht="10.5" customHeight="1" x14ac:dyDescent="0.25"/>
    <row r="428" ht="10.5" customHeight="1" x14ac:dyDescent="0.25"/>
    <row r="429" ht="10.5" customHeight="1" x14ac:dyDescent="0.25"/>
    <row r="430" ht="10.5" customHeight="1" x14ac:dyDescent="0.25"/>
    <row r="431" ht="10.5" customHeight="1" x14ac:dyDescent="0.25"/>
    <row r="432" ht="10.5" customHeight="1" x14ac:dyDescent="0.25"/>
    <row r="433" ht="10.5" customHeight="1" x14ac:dyDescent="0.25"/>
    <row r="434" ht="10.5" customHeight="1" x14ac:dyDescent="0.25"/>
    <row r="435" ht="10.5" customHeight="1" x14ac:dyDescent="0.25"/>
    <row r="436" ht="10.5" customHeight="1" x14ac:dyDescent="0.25"/>
    <row r="437" ht="10.5" customHeight="1" x14ac:dyDescent="0.25"/>
    <row r="438" ht="10.5" customHeight="1" x14ac:dyDescent="0.25"/>
    <row r="439" ht="10.5" customHeight="1" x14ac:dyDescent="0.25"/>
    <row r="440" ht="10.5" customHeight="1" x14ac:dyDescent="0.25"/>
    <row r="441" ht="10.5" customHeight="1" x14ac:dyDescent="0.25"/>
    <row r="442" ht="10.5" customHeight="1" x14ac:dyDescent="0.25"/>
    <row r="443" ht="10.5" customHeight="1" x14ac:dyDescent="0.25"/>
    <row r="444" ht="10.5" customHeight="1" x14ac:dyDescent="0.25"/>
    <row r="445" ht="10.5" customHeight="1" x14ac:dyDescent="0.25"/>
    <row r="446" ht="10.5" customHeight="1" x14ac:dyDescent="0.25"/>
    <row r="447" ht="10.5" customHeight="1" x14ac:dyDescent="0.25"/>
    <row r="448" ht="10.5" customHeight="1" x14ac:dyDescent="0.25"/>
    <row r="449" ht="10.5" customHeight="1" x14ac:dyDescent="0.25"/>
    <row r="450" ht="10.5" customHeight="1" x14ac:dyDescent="0.25"/>
    <row r="451" ht="10.5" customHeight="1" x14ac:dyDescent="0.25"/>
    <row r="452" ht="10.5" customHeight="1" x14ac:dyDescent="0.25"/>
    <row r="453" ht="10.5" customHeight="1" x14ac:dyDescent="0.25"/>
    <row r="454" ht="10.5" customHeight="1" x14ac:dyDescent="0.25"/>
    <row r="455" ht="10.5" customHeight="1" x14ac:dyDescent="0.25"/>
    <row r="456" ht="10.5" customHeight="1" x14ac:dyDescent="0.25"/>
    <row r="457" ht="10.5" customHeight="1" x14ac:dyDescent="0.25"/>
    <row r="458" ht="10.5" customHeight="1" x14ac:dyDescent="0.25"/>
    <row r="459" ht="10.5" customHeight="1" x14ac:dyDescent="0.25"/>
    <row r="460" ht="10.5" customHeight="1" x14ac:dyDescent="0.25"/>
    <row r="461" ht="10.5" customHeight="1" x14ac:dyDescent="0.25"/>
    <row r="462" ht="10.5" customHeight="1" x14ac:dyDescent="0.25"/>
    <row r="463" ht="10.5" customHeight="1" x14ac:dyDescent="0.25"/>
    <row r="464" ht="10.5" customHeight="1" x14ac:dyDescent="0.25"/>
    <row r="465" ht="10.5" customHeight="1" x14ac:dyDescent="0.25"/>
    <row r="466" ht="10.5" customHeight="1" x14ac:dyDescent="0.25"/>
    <row r="467" ht="10.5" customHeight="1" x14ac:dyDescent="0.25"/>
    <row r="468" ht="10.5" customHeight="1" x14ac:dyDescent="0.25"/>
    <row r="469" ht="10.5" customHeight="1" x14ac:dyDescent="0.25"/>
    <row r="470" ht="10.5" customHeight="1" x14ac:dyDescent="0.25"/>
    <row r="471" ht="10.5" customHeight="1" x14ac:dyDescent="0.25"/>
    <row r="472" ht="10.5" customHeight="1" x14ac:dyDescent="0.25"/>
    <row r="473" ht="10.5" customHeight="1" x14ac:dyDescent="0.25"/>
    <row r="474" ht="10.5" customHeight="1" x14ac:dyDescent="0.25"/>
    <row r="475" ht="10.5" customHeight="1" x14ac:dyDescent="0.25"/>
    <row r="476" ht="10.5" customHeight="1" x14ac:dyDescent="0.25"/>
    <row r="477" ht="10.5" customHeight="1" x14ac:dyDescent="0.25"/>
    <row r="478" ht="10.5" customHeight="1" x14ac:dyDescent="0.25"/>
    <row r="479" ht="10.5" customHeight="1" x14ac:dyDescent="0.25"/>
    <row r="480" ht="10.5" customHeight="1" x14ac:dyDescent="0.25"/>
    <row r="481" ht="10.5" customHeight="1" x14ac:dyDescent="0.25"/>
    <row r="482" ht="10.5" customHeight="1" x14ac:dyDescent="0.25"/>
    <row r="483" ht="10.5" customHeight="1" x14ac:dyDescent="0.25"/>
    <row r="484" ht="10.5" customHeight="1" x14ac:dyDescent="0.25"/>
    <row r="485" ht="10.5" customHeight="1" x14ac:dyDescent="0.25"/>
    <row r="486" ht="10.5" customHeight="1" x14ac:dyDescent="0.25"/>
    <row r="487" ht="10.5" customHeight="1" x14ac:dyDescent="0.25"/>
    <row r="488" ht="10.5" customHeight="1" x14ac:dyDescent="0.25"/>
    <row r="489" ht="10.5" customHeight="1" x14ac:dyDescent="0.25"/>
    <row r="490" ht="10.5" customHeight="1" x14ac:dyDescent="0.25"/>
    <row r="491" ht="10.5" customHeight="1" x14ac:dyDescent="0.25"/>
    <row r="492" ht="10.5" customHeight="1" x14ac:dyDescent="0.25"/>
    <row r="493" ht="10.5" customHeight="1" x14ac:dyDescent="0.25"/>
    <row r="494" ht="10.5" customHeight="1" x14ac:dyDescent="0.25"/>
    <row r="495" ht="10.5" customHeight="1" x14ac:dyDescent="0.25"/>
    <row r="496" ht="10.5" customHeight="1" x14ac:dyDescent="0.25"/>
    <row r="497" ht="10.5" customHeight="1" x14ac:dyDescent="0.25"/>
    <row r="498" ht="10.5" customHeight="1" x14ac:dyDescent="0.25"/>
    <row r="499" ht="10.5" customHeight="1" x14ac:dyDescent="0.25"/>
    <row r="500" ht="10.5" customHeight="1" x14ac:dyDescent="0.25"/>
    <row r="501" ht="10.5" customHeight="1" x14ac:dyDescent="0.25"/>
    <row r="502" ht="10.5" customHeight="1" x14ac:dyDescent="0.25"/>
    <row r="503" ht="10.5" customHeight="1" x14ac:dyDescent="0.25"/>
    <row r="504" ht="10.5" customHeight="1" x14ac:dyDescent="0.25"/>
    <row r="505" ht="10.5" customHeight="1" x14ac:dyDescent="0.25"/>
    <row r="506" ht="10.5" customHeight="1" x14ac:dyDescent="0.25"/>
    <row r="507" ht="10.5" customHeight="1" x14ac:dyDescent="0.25"/>
    <row r="508" ht="10.5" customHeight="1" x14ac:dyDescent="0.25"/>
    <row r="509" ht="10.5" customHeight="1" x14ac:dyDescent="0.25"/>
    <row r="510" ht="10.5" customHeight="1" x14ac:dyDescent="0.25"/>
    <row r="511" ht="10.5" customHeight="1" x14ac:dyDescent="0.25"/>
    <row r="512" ht="10.5" customHeight="1" x14ac:dyDescent="0.25"/>
    <row r="513" ht="10.5" customHeight="1" x14ac:dyDescent="0.25"/>
    <row r="514" ht="10.5" customHeight="1" x14ac:dyDescent="0.25"/>
    <row r="515" ht="10.5" customHeight="1" x14ac:dyDescent="0.25"/>
    <row r="516" ht="10.5" customHeight="1" x14ac:dyDescent="0.25"/>
    <row r="517" ht="10.5" customHeight="1" x14ac:dyDescent="0.25"/>
    <row r="518" ht="10.5" customHeight="1" x14ac:dyDescent="0.25"/>
    <row r="519" ht="10.5" customHeight="1" x14ac:dyDescent="0.25"/>
    <row r="520" ht="10.5" customHeight="1" x14ac:dyDescent="0.25"/>
    <row r="521" ht="10.5" customHeight="1" x14ac:dyDescent="0.25"/>
    <row r="522" ht="10.5" customHeight="1" x14ac:dyDescent="0.25"/>
    <row r="523" ht="10.5" customHeight="1" x14ac:dyDescent="0.25"/>
    <row r="524" ht="10.5" customHeight="1" x14ac:dyDescent="0.25"/>
    <row r="525" ht="10.5" customHeight="1" x14ac:dyDescent="0.25"/>
    <row r="526" ht="10.5" customHeight="1" x14ac:dyDescent="0.25"/>
    <row r="527" ht="10.5" customHeight="1" x14ac:dyDescent="0.25"/>
    <row r="528" ht="10.5" customHeight="1" x14ac:dyDescent="0.25"/>
    <row r="529" ht="10.5" customHeight="1" x14ac:dyDescent="0.25"/>
    <row r="530" ht="10.5" customHeight="1" x14ac:dyDescent="0.25"/>
    <row r="531" ht="10.5" customHeight="1" x14ac:dyDescent="0.25"/>
    <row r="532" ht="10.5" customHeight="1" x14ac:dyDescent="0.25"/>
    <row r="533" ht="10.5" customHeight="1" x14ac:dyDescent="0.25"/>
    <row r="534" ht="10.5" customHeight="1" x14ac:dyDescent="0.25"/>
    <row r="535" ht="10.5" customHeight="1" x14ac:dyDescent="0.25"/>
    <row r="536" ht="10.5" customHeight="1" x14ac:dyDescent="0.25"/>
    <row r="537" ht="10.5" customHeight="1" x14ac:dyDescent="0.25"/>
    <row r="538" ht="10.5" customHeight="1" x14ac:dyDescent="0.25"/>
    <row r="539" ht="10.5" customHeight="1" x14ac:dyDescent="0.25"/>
    <row r="540" ht="10.5" customHeight="1" x14ac:dyDescent="0.25"/>
    <row r="541" ht="10.5" customHeight="1" x14ac:dyDescent="0.25"/>
    <row r="542" ht="10.5" customHeight="1" x14ac:dyDescent="0.25"/>
    <row r="543" ht="10.5" customHeight="1" x14ac:dyDescent="0.25"/>
    <row r="544" ht="10.5" customHeight="1" x14ac:dyDescent="0.25"/>
    <row r="545" ht="10.5" customHeight="1" x14ac:dyDescent="0.25"/>
    <row r="546" ht="10.5" customHeight="1" x14ac:dyDescent="0.25"/>
    <row r="547" ht="10.5" customHeight="1" x14ac:dyDescent="0.25"/>
    <row r="548" ht="10.5" customHeight="1" x14ac:dyDescent="0.25"/>
    <row r="549" ht="10.5" customHeight="1" x14ac:dyDescent="0.25"/>
    <row r="550" ht="10.5" customHeight="1" x14ac:dyDescent="0.25"/>
    <row r="551" ht="10.5" customHeight="1" x14ac:dyDescent="0.25"/>
    <row r="552" ht="10.5" customHeight="1" x14ac:dyDescent="0.25"/>
    <row r="553" ht="10.5" customHeight="1" x14ac:dyDescent="0.25"/>
    <row r="554" ht="10.5" customHeight="1" x14ac:dyDescent="0.25"/>
    <row r="555" ht="10.5" customHeight="1" x14ac:dyDescent="0.25"/>
    <row r="556" ht="10.5" customHeight="1" x14ac:dyDescent="0.25"/>
    <row r="557" ht="10.5" customHeight="1" x14ac:dyDescent="0.25"/>
    <row r="558" ht="10.5" customHeight="1" x14ac:dyDescent="0.25"/>
    <row r="559" ht="10.5" customHeight="1" x14ac:dyDescent="0.25"/>
    <row r="560" ht="10.5" customHeight="1" x14ac:dyDescent="0.25"/>
    <row r="561" ht="10.5" customHeight="1" x14ac:dyDescent="0.25"/>
    <row r="562" ht="10.5" customHeight="1" x14ac:dyDescent="0.25"/>
    <row r="563" ht="10.5" customHeight="1" x14ac:dyDescent="0.25"/>
    <row r="564" ht="10.5" customHeight="1" x14ac:dyDescent="0.25"/>
    <row r="565" ht="10.5" customHeight="1" x14ac:dyDescent="0.25"/>
    <row r="566" ht="10.5" customHeight="1" x14ac:dyDescent="0.25"/>
    <row r="567" ht="10.5" customHeight="1" x14ac:dyDescent="0.25"/>
    <row r="568" ht="10.5" customHeight="1" x14ac:dyDescent="0.25"/>
    <row r="569" ht="10.5" customHeight="1" x14ac:dyDescent="0.25"/>
    <row r="570" ht="10.5" customHeight="1" x14ac:dyDescent="0.25"/>
    <row r="571" ht="10.5" customHeight="1" x14ac:dyDescent="0.25"/>
    <row r="572" ht="10.5" customHeight="1" x14ac:dyDescent="0.25"/>
    <row r="573" ht="10.5" customHeight="1" x14ac:dyDescent="0.25"/>
    <row r="574" ht="10.5" customHeight="1" x14ac:dyDescent="0.25"/>
    <row r="575" ht="10.5" customHeight="1" x14ac:dyDescent="0.25"/>
    <row r="576" ht="10.5" customHeight="1" x14ac:dyDescent="0.25"/>
    <row r="577" ht="10.5" customHeight="1" x14ac:dyDescent="0.25"/>
    <row r="578" ht="10.5" customHeight="1" x14ac:dyDescent="0.25"/>
    <row r="579" ht="10.5" customHeight="1" x14ac:dyDescent="0.25"/>
    <row r="580" ht="10.5" customHeight="1" x14ac:dyDescent="0.25"/>
    <row r="581" ht="10.5" customHeight="1" x14ac:dyDescent="0.25"/>
    <row r="582" ht="10.5" customHeight="1" x14ac:dyDescent="0.25"/>
    <row r="583" ht="10.5" customHeight="1" x14ac:dyDescent="0.25"/>
    <row r="584" ht="10.5" customHeight="1" x14ac:dyDescent="0.25"/>
    <row r="585" ht="10.5" customHeight="1" x14ac:dyDescent="0.25"/>
    <row r="586" ht="10.5" customHeight="1" x14ac:dyDescent="0.25"/>
    <row r="587" ht="10.5" customHeight="1" x14ac:dyDescent="0.25"/>
    <row r="588" ht="10.5" customHeight="1" x14ac:dyDescent="0.25"/>
    <row r="589" ht="10.5" customHeight="1" x14ac:dyDescent="0.25"/>
    <row r="590" ht="10.5" customHeight="1" x14ac:dyDescent="0.25"/>
    <row r="591" ht="10.5" customHeight="1" x14ac:dyDescent="0.25"/>
    <row r="592" ht="10.5" customHeight="1" x14ac:dyDescent="0.25"/>
    <row r="593" ht="10.5" customHeight="1" x14ac:dyDescent="0.25"/>
    <row r="594" ht="10.5" customHeight="1" x14ac:dyDescent="0.25"/>
    <row r="595" ht="10.5" customHeight="1" x14ac:dyDescent="0.25"/>
    <row r="596" ht="10.5" customHeight="1" x14ac:dyDescent="0.25"/>
    <row r="597" ht="10.5" customHeight="1" x14ac:dyDescent="0.25"/>
    <row r="598" ht="10.5" customHeight="1" x14ac:dyDescent="0.25"/>
    <row r="599" ht="10.5" customHeight="1" x14ac:dyDescent="0.25"/>
    <row r="600" ht="10.5" customHeight="1" x14ac:dyDescent="0.25"/>
    <row r="601" ht="10.5" customHeight="1" x14ac:dyDescent="0.25"/>
    <row r="602" ht="10.5" customHeight="1" x14ac:dyDescent="0.25"/>
    <row r="603" ht="10.5" customHeight="1" x14ac:dyDescent="0.25"/>
    <row r="604" ht="10.5" customHeight="1" x14ac:dyDescent="0.25"/>
    <row r="605" ht="10.5" customHeight="1" x14ac:dyDescent="0.25"/>
    <row r="606" ht="10.5" customHeight="1" x14ac:dyDescent="0.25"/>
    <row r="607" ht="10.5" customHeight="1" x14ac:dyDescent="0.25"/>
    <row r="608" ht="10.5" customHeight="1" x14ac:dyDescent="0.25"/>
    <row r="609" ht="10.5" customHeight="1" x14ac:dyDescent="0.25"/>
    <row r="610" ht="10.5" customHeight="1" x14ac:dyDescent="0.25"/>
    <row r="611" ht="10.5" customHeight="1" x14ac:dyDescent="0.25"/>
    <row r="612" ht="10.5" customHeight="1" x14ac:dyDescent="0.25"/>
    <row r="613" ht="10.5" customHeight="1" x14ac:dyDescent="0.25"/>
    <row r="614" ht="10.5" customHeight="1" x14ac:dyDescent="0.25"/>
    <row r="615" ht="10.5" customHeight="1" x14ac:dyDescent="0.25"/>
    <row r="616" ht="10.5" customHeight="1" x14ac:dyDescent="0.25"/>
    <row r="617" ht="10.5" customHeight="1" x14ac:dyDescent="0.25"/>
    <row r="618" ht="10.5" customHeight="1" x14ac:dyDescent="0.25"/>
    <row r="619" ht="10.5" customHeight="1" x14ac:dyDescent="0.25"/>
    <row r="620" ht="10.5" customHeight="1" x14ac:dyDescent="0.25"/>
    <row r="621" ht="10.5" customHeight="1" x14ac:dyDescent="0.25"/>
    <row r="622" ht="10.5" customHeight="1" x14ac:dyDescent="0.25"/>
    <row r="623" ht="10.5" customHeight="1" x14ac:dyDescent="0.25"/>
    <row r="624" ht="10.5" customHeight="1" x14ac:dyDescent="0.25"/>
    <row r="625" ht="10.5" customHeight="1" x14ac:dyDescent="0.25"/>
    <row r="626" ht="10.5" customHeight="1" x14ac:dyDescent="0.25"/>
    <row r="627" ht="10.5" customHeight="1" x14ac:dyDescent="0.25"/>
    <row r="628" ht="10.5" customHeight="1" x14ac:dyDescent="0.25"/>
    <row r="629" ht="10.5" customHeight="1" x14ac:dyDescent="0.25"/>
    <row r="630" ht="10.5" customHeight="1" x14ac:dyDescent="0.25"/>
    <row r="631" ht="10.5" customHeight="1" x14ac:dyDescent="0.25"/>
    <row r="632" ht="10.5" customHeight="1" x14ac:dyDescent="0.25"/>
    <row r="633" ht="10.5" customHeight="1" x14ac:dyDescent="0.25"/>
    <row r="634" ht="10.5" customHeight="1" x14ac:dyDescent="0.25"/>
    <row r="635" ht="10.5" customHeight="1" x14ac:dyDescent="0.25"/>
    <row r="636" ht="10.5" customHeight="1" x14ac:dyDescent="0.25"/>
    <row r="637" ht="10.5" customHeight="1" x14ac:dyDescent="0.25"/>
    <row r="638" ht="10.5" customHeight="1" x14ac:dyDescent="0.25"/>
    <row r="639" ht="10.5" customHeight="1" x14ac:dyDescent="0.25"/>
    <row r="640" ht="10.5" customHeight="1" x14ac:dyDescent="0.25"/>
    <row r="641" ht="10.5" customHeight="1" x14ac:dyDescent="0.25"/>
    <row r="642" ht="10.5" customHeight="1" x14ac:dyDescent="0.25"/>
    <row r="643" ht="10.5" customHeight="1" x14ac:dyDescent="0.25"/>
    <row r="644" ht="10.5" customHeight="1" x14ac:dyDescent="0.25"/>
    <row r="645" ht="10.5" customHeight="1" x14ac:dyDescent="0.25"/>
    <row r="646" ht="10.5" customHeight="1" x14ac:dyDescent="0.25"/>
    <row r="647" ht="10.5" customHeight="1" x14ac:dyDescent="0.25"/>
    <row r="648" ht="10.5" customHeight="1" x14ac:dyDescent="0.25"/>
    <row r="649" ht="10.5" customHeight="1" x14ac:dyDescent="0.25"/>
    <row r="650" ht="10.5" customHeight="1" x14ac:dyDescent="0.25"/>
    <row r="651" ht="10.5" customHeight="1" x14ac:dyDescent="0.25"/>
    <row r="652" ht="10.5" customHeight="1" x14ac:dyDescent="0.25"/>
    <row r="653" ht="10.5" customHeight="1" x14ac:dyDescent="0.25"/>
    <row r="654" ht="10.5" customHeight="1" x14ac:dyDescent="0.25"/>
    <row r="655" ht="10.5" customHeight="1" x14ac:dyDescent="0.25"/>
    <row r="656" ht="10.5" customHeight="1" x14ac:dyDescent="0.25"/>
    <row r="657" ht="10.5" customHeight="1" x14ac:dyDescent="0.25"/>
    <row r="658" ht="10.5" customHeight="1" x14ac:dyDescent="0.25"/>
    <row r="659" ht="10.5" customHeight="1" x14ac:dyDescent="0.25"/>
    <row r="660" ht="10.5" customHeight="1" x14ac:dyDescent="0.25"/>
    <row r="661" ht="10.5" customHeight="1" x14ac:dyDescent="0.25"/>
    <row r="662" ht="10.5" customHeight="1" x14ac:dyDescent="0.25"/>
    <row r="663" ht="10.5" customHeight="1" x14ac:dyDescent="0.25"/>
    <row r="664" ht="10.5" customHeight="1" x14ac:dyDescent="0.25"/>
    <row r="665" ht="10.5" customHeight="1" x14ac:dyDescent="0.25"/>
    <row r="666" ht="10.5" customHeight="1" x14ac:dyDescent="0.25"/>
    <row r="667" ht="10.5" customHeight="1" x14ac:dyDescent="0.25"/>
    <row r="668" ht="10.5" customHeight="1" x14ac:dyDescent="0.25"/>
    <row r="669" ht="10.5" customHeight="1" x14ac:dyDescent="0.25"/>
    <row r="670" ht="10.5" customHeight="1" x14ac:dyDescent="0.25"/>
    <row r="671" ht="10.5" customHeight="1" x14ac:dyDescent="0.25"/>
    <row r="672" ht="10.5" customHeight="1" x14ac:dyDescent="0.25"/>
    <row r="673" ht="10.5" customHeight="1" x14ac:dyDescent="0.25"/>
    <row r="674" ht="10.5" customHeight="1" x14ac:dyDescent="0.25"/>
    <row r="675" ht="10.5" customHeight="1" x14ac:dyDescent="0.25"/>
    <row r="676" ht="10.5" customHeight="1" x14ac:dyDescent="0.25"/>
    <row r="677" ht="10.5" customHeight="1" x14ac:dyDescent="0.25"/>
    <row r="678" ht="10.5" customHeight="1" x14ac:dyDescent="0.25"/>
    <row r="679" ht="10.5" customHeight="1" x14ac:dyDescent="0.25"/>
    <row r="680" ht="10.5" customHeight="1" x14ac:dyDescent="0.25"/>
    <row r="681" ht="10.5" customHeight="1" x14ac:dyDescent="0.25"/>
    <row r="682" ht="10.5" customHeight="1" x14ac:dyDescent="0.25"/>
    <row r="683" ht="10.5" customHeight="1" x14ac:dyDescent="0.25"/>
    <row r="684" ht="10.5" customHeight="1" x14ac:dyDescent="0.25"/>
    <row r="685" ht="10.5" customHeight="1" x14ac:dyDescent="0.25"/>
    <row r="686" ht="10.5" customHeight="1" x14ac:dyDescent="0.25"/>
    <row r="687" ht="10.5" customHeight="1" x14ac:dyDescent="0.25"/>
    <row r="688" ht="10.5" customHeight="1" x14ac:dyDescent="0.25"/>
    <row r="689" ht="10.5" customHeight="1" x14ac:dyDescent="0.25"/>
    <row r="690" ht="10.5" customHeight="1" x14ac:dyDescent="0.25"/>
    <row r="691" ht="10.5" customHeight="1" x14ac:dyDescent="0.25"/>
    <row r="692" ht="10.5" customHeight="1" x14ac:dyDescent="0.25"/>
    <row r="693" ht="10.5" customHeight="1" x14ac:dyDescent="0.25"/>
    <row r="694" ht="10.5" customHeight="1" x14ac:dyDescent="0.25"/>
    <row r="695" ht="10.5" customHeight="1" x14ac:dyDescent="0.25"/>
    <row r="696" ht="10.5" customHeight="1" x14ac:dyDescent="0.25"/>
    <row r="697" ht="10.5" customHeight="1" x14ac:dyDescent="0.25"/>
    <row r="698" ht="10.5" customHeight="1" x14ac:dyDescent="0.25"/>
    <row r="699" ht="10.5" customHeight="1" x14ac:dyDescent="0.25"/>
    <row r="700" ht="10.5" customHeight="1" x14ac:dyDescent="0.25"/>
    <row r="701" ht="10.5" customHeight="1" x14ac:dyDescent="0.25"/>
    <row r="702" ht="10.5" customHeight="1" x14ac:dyDescent="0.25"/>
    <row r="703" ht="10.5" customHeight="1" x14ac:dyDescent="0.25"/>
    <row r="704" ht="10.5" customHeight="1" x14ac:dyDescent="0.25"/>
    <row r="705" ht="10.5" customHeight="1" x14ac:dyDescent="0.25"/>
    <row r="706" ht="10.5" customHeight="1" x14ac:dyDescent="0.25"/>
    <row r="707" ht="10.5" customHeight="1" x14ac:dyDescent="0.25"/>
    <row r="708" ht="10.5" customHeight="1" x14ac:dyDescent="0.25"/>
    <row r="709" ht="10.5" customHeight="1" x14ac:dyDescent="0.25"/>
    <row r="710" ht="10.5" customHeight="1" x14ac:dyDescent="0.25"/>
    <row r="711" ht="10.5" customHeight="1" x14ac:dyDescent="0.25"/>
    <row r="712" ht="10.5" customHeight="1" x14ac:dyDescent="0.25"/>
    <row r="713" ht="10.5" customHeight="1" x14ac:dyDescent="0.25"/>
    <row r="714" ht="10.5" customHeight="1" x14ac:dyDescent="0.25"/>
    <row r="715" ht="10.5" customHeight="1" x14ac:dyDescent="0.25"/>
    <row r="716" ht="10.5" customHeight="1" x14ac:dyDescent="0.25"/>
    <row r="717" ht="10.5" customHeight="1" x14ac:dyDescent="0.25"/>
    <row r="718" ht="10.5" customHeight="1" x14ac:dyDescent="0.25"/>
    <row r="719" ht="10.5" customHeight="1" x14ac:dyDescent="0.25"/>
    <row r="720" ht="10.5" customHeight="1" x14ac:dyDescent="0.25"/>
    <row r="721" ht="10.5" customHeight="1" x14ac:dyDescent="0.25"/>
    <row r="722" ht="10.5" customHeight="1" x14ac:dyDescent="0.25"/>
    <row r="723" ht="10.5" customHeight="1" x14ac:dyDescent="0.25"/>
    <row r="724" ht="10.5" customHeight="1" x14ac:dyDescent="0.25"/>
    <row r="725" ht="10.5" customHeight="1" x14ac:dyDescent="0.25"/>
    <row r="726" ht="10.5" customHeight="1" x14ac:dyDescent="0.25"/>
    <row r="727" ht="10.5" customHeight="1" x14ac:dyDescent="0.25"/>
    <row r="728" ht="10.5" customHeight="1" x14ac:dyDescent="0.25"/>
    <row r="729" ht="10.5" customHeight="1" x14ac:dyDescent="0.25"/>
    <row r="730" ht="10.5" customHeight="1" x14ac:dyDescent="0.25"/>
    <row r="731" ht="10.5" customHeight="1" x14ac:dyDescent="0.25"/>
    <row r="732" ht="10.5" customHeight="1" x14ac:dyDescent="0.25"/>
    <row r="733" ht="10.5" customHeight="1" x14ac:dyDescent="0.25"/>
    <row r="734" ht="10.5" customHeight="1" x14ac:dyDescent="0.25"/>
    <row r="735" ht="10.5" customHeight="1" x14ac:dyDescent="0.25"/>
    <row r="736" ht="10.5" customHeight="1" x14ac:dyDescent="0.25"/>
    <row r="737" ht="10.5" customHeight="1" x14ac:dyDescent="0.25"/>
    <row r="738" ht="10.5" customHeight="1" x14ac:dyDescent="0.25"/>
    <row r="739" ht="10.5" customHeight="1" x14ac:dyDescent="0.25"/>
    <row r="740" ht="10.5" customHeight="1" x14ac:dyDescent="0.25"/>
    <row r="741" ht="10.5" customHeight="1" x14ac:dyDescent="0.25"/>
    <row r="742" ht="10.5" customHeight="1" x14ac:dyDescent="0.25"/>
    <row r="743" ht="10.5" customHeight="1" x14ac:dyDescent="0.25"/>
    <row r="744" ht="10.5" customHeight="1" x14ac:dyDescent="0.25"/>
    <row r="745" ht="10.5" customHeight="1" x14ac:dyDescent="0.25"/>
    <row r="746" ht="10.5" customHeight="1" x14ac:dyDescent="0.25"/>
    <row r="747" ht="10.5" customHeight="1" x14ac:dyDescent="0.25"/>
    <row r="748" ht="10.5" customHeight="1" x14ac:dyDescent="0.25"/>
    <row r="749" ht="10.5" customHeight="1" x14ac:dyDescent="0.25"/>
    <row r="750" ht="10.5" customHeight="1" x14ac:dyDescent="0.25"/>
    <row r="751" ht="10.5" customHeight="1" x14ac:dyDescent="0.25"/>
    <row r="752" ht="10.5" customHeight="1" x14ac:dyDescent="0.25"/>
    <row r="753" ht="10.5" customHeight="1" x14ac:dyDescent="0.25"/>
    <row r="754" ht="10.5" customHeight="1" x14ac:dyDescent="0.25"/>
    <row r="755" ht="10.5" customHeight="1" x14ac:dyDescent="0.25"/>
    <row r="756" ht="10.5" customHeight="1" x14ac:dyDescent="0.25"/>
    <row r="757" ht="10.5" customHeight="1" x14ac:dyDescent="0.25"/>
    <row r="758" ht="10.5" customHeight="1" x14ac:dyDescent="0.25"/>
    <row r="759" ht="10.5" customHeight="1" x14ac:dyDescent="0.25"/>
    <row r="760" ht="10.5" customHeight="1" x14ac:dyDescent="0.25"/>
    <row r="761" ht="10.5" customHeight="1" x14ac:dyDescent="0.25"/>
    <row r="762" ht="10.5" customHeight="1" x14ac:dyDescent="0.25"/>
    <row r="763" ht="10.5" customHeight="1" x14ac:dyDescent="0.25"/>
    <row r="764" ht="10.5" customHeight="1" x14ac:dyDescent="0.25"/>
    <row r="765" ht="10.5" customHeight="1" x14ac:dyDescent="0.25"/>
    <row r="766" ht="10.5" customHeight="1" x14ac:dyDescent="0.25"/>
    <row r="767" ht="10.5" customHeight="1" x14ac:dyDescent="0.25"/>
    <row r="768" ht="10.5" customHeight="1" x14ac:dyDescent="0.25"/>
    <row r="769" ht="10.5" customHeight="1" x14ac:dyDescent="0.25"/>
    <row r="770" ht="10.5" customHeight="1" x14ac:dyDescent="0.25"/>
    <row r="771" ht="10.5" customHeight="1" x14ac:dyDescent="0.25"/>
    <row r="772" ht="10.5" customHeight="1" x14ac:dyDescent="0.25"/>
    <row r="773" ht="10.5" customHeight="1" x14ac:dyDescent="0.25"/>
    <row r="774" ht="10.5" customHeight="1" x14ac:dyDescent="0.25"/>
    <row r="775" ht="10.5" customHeight="1" x14ac:dyDescent="0.25"/>
    <row r="776" ht="10.5" customHeight="1" x14ac:dyDescent="0.25"/>
    <row r="777" ht="10.5" customHeight="1" x14ac:dyDescent="0.25"/>
    <row r="778" ht="10.5" customHeight="1" x14ac:dyDescent="0.25"/>
    <row r="779" ht="10.5" customHeight="1" x14ac:dyDescent="0.25"/>
    <row r="780" ht="10.5" customHeight="1" x14ac:dyDescent="0.25"/>
    <row r="781" ht="10.5" customHeight="1" x14ac:dyDescent="0.25"/>
    <row r="782" ht="10.5" customHeight="1" x14ac:dyDescent="0.25"/>
    <row r="783" ht="10.5" customHeight="1" x14ac:dyDescent="0.25"/>
    <row r="784" ht="10.5" customHeight="1" x14ac:dyDescent="0.25"/>
    <row r="785" ht="10.5" customHeight="1" x14ac:dyDescent="0.25"/>
    <row r="786" ht="10.5" customHeight="1" x14ac:dyDescent="0.25"/>
    <row r="787" ht="10.5" customHeight="1" x14ac:dyDescent="0.25"/>
    <row r="788" ht="10.5" customHeight="1" x14ac:dyDescent="0.25"/>
    <row r="789" ht="10.5" customHeight="1" x14ac:dyDescent="0.25"/>
    <row r="790" ht="10.5" customHeight="1" x14ac:dyDescent="0.25"/>
    <row r="791" ht="10.5" customHeight="1" x14ac:dyDescent="0.25"/>
    <row r="792" ht="10.5" customHeight="1" x14ac:dyDescent="0.25"/>
    <row r="793" ht="10.5" customHeight="1" x14ac:dyDescent="0.25"/>
    <row r="794" ht="10.5" customHeight="1" x14ac:dyDescent="0.25"/>
    <row r="795" ht="10.5" customHeight="1" x14ac:dyDescent="0.25"/>
    <row r="796" ht="10.5" customHeight="1" x14ac:dyDescent="0.25"/>
    <row r="797" ht="10.5" customHeight="1" x14ac:dyDescent="0.25"/>
    <row r="798" ht="10.5" customHeight="1" x14ac:dyDescent="0.25"/>
    <row r="799" ht="10.5" customHeight="1" x14ac:dyDescent="0.25"/>
    <row r="800" ht="10.5" customHeight="1" x14ac:dyDescent="0.25"/>
    <row r="801" ht="10.5" customHeight="1" x14ac:dyDescent="0.25"/>
    <row r="802" ht="10.5" customHeight="1" x14ac:dyDescent="0.25"/>
    <row r="803" ht="10.5" customHeight="1" x14ac:dyDescent="0.25"/>
    <row r="804" ht="10.5" customHeight="1" x14ac:dyDescent="0.25"/>
    <row r="805" ht="10.5" customHeight="1" x14ac:dyDescent="0.25"/>
    <row r="806" ht="10.5" customHeight="1" x14ac:dyDescent="0.25"/>
    <row r="807" ht="10.5" customHeight="1" x14ac:dyDescent="0.25"/>
    <row r="808" ht="10.5" customHeight="1" x14ac:dyDescent="0.25"/>
    <row r="809" ht="10.5" customHeight="1" x14ac:dyDescent="0.25"/>
    <row r="810" ht="10.5" customHeight="1" x14ac:dyDescent="0.25"/>
    <row r="811" ht="10.5" customHeight="1" x14ac:dyDescent="0.25"/>
    <row r="812" ht="10.5" customHeight="1" x14ac:dyDescent="0.25"/>
    <row r="813" ht="10.5" customHeight="1" x14ac:dyDescent="0.25"/>
    <row r="814" ht="10.5" customHeight="1" x14ac:dyDescent="0.25"/>
    <row r="815" ht="10.5" customHeight="1" x14ac:dyDescent="0.25"/>
    <row r="816" ht="10.5" customHeight="1" x14ac:dyDescent="0.25"/>
    <row r="817" ht="10.5" customHeight="1" x14ac:dyDescent="0.25"/>
    <row r="818" ht="10.5" customHeight="1" x14ac:dyDescent="0.25"/>
    <row r="819" ht="10.5" customHeight="1" x14ac:dyDescent="0.25"/>
    <row r="820" ht="10.5" customHeight="1" x14ac:dyDescent="0.25"/>
    <row r="821" ht="10.5" customHeight="1" x14ac:dyDescent="0.25"/>
    <row r="822" ht="10.5" customHeight="1" x14ac:dyDescent="0.25"/>
    <row r="823" ht="10.5" customHeight="1" x14ac:dyDescent="0.25"/>
    <row r="824" ht="10.5" customHeight="1" x14ac:dyDescent="0.25"/>
    <row r="825" ht="10.5" customHeight="1" x14ac:dyDescent="0.25"/>
    <row r="826" ht="10.5" customHeight="1" x14ac:dyDescent="0.25"/>
    <row r="827" ht="10.5" customHeight="1" x14ac:dyDescent="0.25"/>
    <row r="828" ht="10.5" customHeight="1" x14ac:dyDescent="0.25"/>
    <row r="829" ht="10.5" customHeight="1" x14ac:dyDescent="0.25"/>
    <row r="830" ht="10.5" customHeight="1" x14ac:dyDescent="0.25"/>
    <row r="831" ht="10.5" customHeight="1" x14ac:dyDescent="0.25"/>
    <row r="832" ht="10.5" customHeight="1" x14ac:dyDescent="0.25"/>
    <row r="833" ht="10.5" customHeight="1" x14ac:dyDescent="0.25"/>
    <row r="834" ht="10.5" customHeight="1" x14ac:dyDescent="0.25"/>
    <row r="835" ht="10.5" customHeight="1" x14ac:dyDescent="0.25"/>
    <row r="836" ht="10.5" customHeight="1" x14ac:dyDescent="0.25"/>
    <row r="837" ht="10.5" customHeight="1" x14ac:dyDescent="0.25"/>
    <row r="838" ht="10.5" customHeight="1" x14ac:dyDescent="0.25"/>
    <row r="839" ht="10.5" customHeight="1" x14ac:dyDescent="0.25"/>
    <row r="840" ht="10.5" customHeight="1" x14ac:dyDescent="0.25"/>
    <row r="841" ht="10.5" customHeight="1" x14ac:dyDescent="0.25"/>
    <row r="842" ht="10.5" customHeight="1" x14ac:dyDescent="0.25"/>
    <row r="843" ht="10.5" customHeight="1" x14ac:dyDescent="0.25"/>
    <row r="844" ht="10.5" customHeight="1" x14ac:dyDescent="0.25"/>
    <row r="845" ht="10.5" customHeight="1" x14ac:dyDescent="0.25"/>
    <row r="846" ht="10.5" customHeight="1" x14ac:dyDescent="0.25"/>
    <row r="847" ht="10.5" customHeight="1" x14ac:dyDescent="0.25"/>
    <row r="848" ht="10.5" customHeight="1" x14ac:dyDescent="0.25"/>
    <row r="849" ht="10.5" customHeight="1" x14ac:dyDescent="0.25"/>
    <row r="850" ht="10.5" customHeight="1" x14ac:dyDescent="0.25"/>
    <row r="851" ht="10.5" customHeight="1" x14ac:dyDescent="0.25"/>
    <row r="852" ht="10.5" customHeight="1" x14ac:dyDescent="0.25"/>
    <row r="853" ht="10.5" customHeight="1" x14ac:dyDescent="0.25"/>
    <row r="854" ht="10.5" customHeight="1" x14ac:dyDescent="0.25"/>
    <row r="855" ht="10.5" customHeight="1" x14ac:dyDescent="0.25"/>
    <row r="856" ht="10.5" customHeight="1" x14ac:dyDescent="0.25"/>
    <row r="857" ht="10.5" customHeight="1" x14ac:dyDescent="0.25"/>
    <row r="858" ht="10.5" customHeight="1" x14ac:dyDescent="0.25"/>
    <row r="859" ht="10.5" customHeight="1" x14ac:dyDescent="0.25"/>
    <row r="860" ht="10.5" customHeight="1" x14ac:dyDescent="0.25"/>
    <row r="861" ht="10.5" customHeight="1" x14ac:dyDescent="0.25"/>
    <row r="862" ht="10.5" customHeight="1" x14ac:dyDescent="0.25"/>
    <row r="863" ht="10.5" customHeight="1" x14ac:dyDescent="0.25"/>
    <row r="864" ht="10.5" customHeight="1" x14ac:dyDescent="0.25"/>
    <row r="865" ht="10.5" customHeight="1" x14ac:dyDescent="0.25"/>
    <row r="866" ht="10.5" customHeight="1" x14ac:dyDescent="0.25"/>
    <row r="867" ht="10.5" customHeight="1" x14ac:dyDescent="0.25"/>
    <row r="868" ht="10.5" customHeight="1" x14ac:dyDescent="0.25"/>
    <row r="869" ht="10.5" customHeight="1" x14ac:dyDescent="0.25"/>
    <row r="870" ht="10.5" customHeight="1" x14ac:dyDescent="0.25"/>
    <row r="871" ht="10.5" customHeight="1" x14ac:dyDescent="0.25"/>
    <row r="872" ht="10.5" customHeight="1" x14ac:dyDescent="0.25"/>
    <row r="873" ht="10.5" customHeight="1" x14ac:dyDescent="0.25"/>
    <row r="874" ht="10.5" customHeight="1" x14ac:dyDescent="0.25"/>
    <row r="875" ht="10.5" customHeight="1" x14ac:dyDescent="0.25"/>
    <row r="876" ht="10.5" customHeight="1" x14ac:dyDescent="0.25"/>
    <row r="877" ht="10.5" customHeight="1" x14ac:dyDescent="0.25"/>
    <row r="878" ht="10.5" customHeight="1" x14ac:dyDescent="0.25"/>
    <row r="879" ht="10.5" customHeight="1" x14ac:dyDescent="0.25"/>
    <row r="880" ht="10.5" customHeight="1" x14ac:dyDescent="0.25"/>
    <row r="881" ht="10.5" customHeight="1" x14ac:dyDescent="0.25"/>
    <row r="882" ht="10.5" customHeight="1" x14ac:dyDescent="0.25"/>
    <row r="883" ht="10.5" customHeight="1" x14ac:dyDescent="0.25"/>
    <row r="884" ht="10.5" customHeight="1" x14ac:dyDescent="0.25"/>
    <row r="885" ht="10.5" customHeight="1" x14ac:dyDescent="0.25"/>
    <row r="886" ht="10.5" customHeight="1" x14ac:dyDescent="0.25"/>
    <row r="887" ht="10.5" customHeight="1" x14ac:dyDescent="0.25"/>
    <row r="888" ht="10.5" customHeight="1" x14ac:dyDescent="0.25"/>
    <row r="889" ht="10.5" customHeight="1" x14ac:dyDescent="0.25"/>
    <row r="890" ht="10.5" customHeight="1" x14ac:dyDescent="0.25"/>
    <row r="891" ht="10.5" customHeight="1" x14ac:dyDescent="0.25"/>
    <row r="892" ht="10.5" customHeight="1" x14ac:dyDescent="0.25"/>
    <row r="893" ht="10.5" customHeight="1" x14ac:dyDescent="0.25"/>
    <row r="894" ht="10.5" customHeight="1" x14ac:dyDescent="0.25"/>
    <row r="895" ht="10.5" customHeight="1" x14ac:dyDescent="0.25"/>
    <row r="896" ht="10.5" customHeight="1" x14ac:dyDescent="0.25"/>
    <row r="897" ht="10.5" customHeight="1" x14ac:dyDescent="0.25"/>
    <row r="898" ht="10.5" customHeight="1" x14ac:dyDescent="0.25"/>
    <row r="899" ht="10.5" customHeight="1" x14ac:dyDescent="0.25"/>
    <row r="900" ht="10.5" customHeight="1" x14ac:dyDescent="0.25"/>
    <row r="901" ht="10.5" customHeight="1" x14ac:dyDescent="0.25"/>
    <row r="902" ht="10.5" customHeight="1" x14ac:dyDescent="0.25"/>
    <row r="903" ht="10.5" customHeight="1" x14ac:dyDescent="0.25"/>
    <row r="904" ht="10.5" customHeight="1" x14ac:dyDescent="0.25"/>
    <row r="905" ht="10.5" customHeight="1" x14ac:dyDescent="0.25"/>
    <row r="906" ht="10.5" customHeight="1" x14ac:dyDescent="0.25"/>
    <row r="907" ht="10.5" customHeight="1" x14ac:dyDescent="0.25"/>
    <row r="908" ht="10.5" customHeight="1" x14ac:dyDescent="0.25"/>
    <row r="909" ht="10.5" customHeight="1" x14ac:dyDescent="0.25"/>
    <row r="910" ht="10.5" customHeight="1" x14ac:dyDescent="0.25"/>
    <row r="911" ht="10.5" customHeight="1" x14ac:dyDescent="0.25"/>
    <row r="912" ht="10.5" customHeight="1" x14ac:dyDescent="0.25"/>
    <row r="913" ht="10.5" customHeight="1" x14ac:dyDescent="0.25"/>
    <row r="914" ht="10.5" customHeight="1" x14ac:dyDescent="0.25"/>
    <row r="915" ht="10.5" customHeight="1" x14ac:dyDescent="0.25"/>
    <row r="916" ht="10.5" customHeight="1" x14ac:dyDescent="0.25"/>
    <row r="917" ht="10.5" customHeight="1" x14ac:dyDescent="0.25"/>
    <row r="918" ht="10.5" customHeight="1" x14ac:dyDescent="0.25"/>
    <row r="919" ht="10.5" customHeight="1" x14ac:dyDescent="0.25"/>
    <row r="920" ht="10.5" customHeight="1" x14ac:dyDescent="0.25"/>
    <row r="921" ht="10.5" customHeight="1" x14ac:dyDescent="0.25"/>
    <row r="922" ht="10.5" customHeight="1" x14ac:dyDescent="0.25"/>
    <row r="923" ht="10.5" customHeight="1" x14ac:dyDescent="0.25"/>
    <row r="924" ht="10.5" customHeight="1" x14ac:dyDescent="0.25"/>
    <row r="925" ht="10.5" customHeight="1" x14ac:dyDescent="0.25"/>
    <row r="926" ht="10.5" customHeight="1" x14ac:dyDescent="0.25"/>
    <row r="927" ht="10.5" customHeight="1" x14ac:dyDescent="0.25"/>
    <row r="928" ht="10.5" customHeight="1" x14ac:dyDescent="0.25"/>
    <row r="929" ht="10.5" customHeight="1" x14ac:dyDescent="0.25"/>
    <row r="930" ht="10.5" customHeight="1" x14ac:dyDescent="0.25"/>
    <row r="931" ht="10.5" customHeight="1" x14ac:dyDescent="0.25"/>
    <row r="932" ht="10.5" customHeight="1" x14ac:dyDescent="0.25"/>
    <row r="933" ht="10.5" customHeight="1" x14ac:dyDescent="0.25"/>
    <row r="934" ht="10.5" customHeight="1" x14ac:dyDescent="0.25"/>
    <row r="935" ht="10.5" customHeight="1" x14ac:dyDescent="0.25"/>
    <row r="936" ht="10.5" customHeight="1" x14ac:dyDescent="0.25"/>
    <row r="937" ht="10.5" customHeight="1" x14ac:dyDescent="0.25"/>
    <row r="938" ht="10.5" customHeight="1" x14ac:dyDescent="0.25"/>
    <row r="939" ht="10.5" customHeight="1" x14ac:dyDescent="0.25"/>
    <row r="940" ht="10.5" customHeight="1" x14ac:dyDescent="0.25"/>
    <row r="941" ht="10.5" customHeight="1" x14ac:dyDescent="0.25"/>
    <row r="942" ht="10.5" customHeight="1" x14ac:dyDescent="0.25"/>
    <row r="943" ht="10.5" customHeight="1" x14ac:dyDescent="0.25"/>
    <row r="944" ht="10.5" customHeight="1" x14ac:dyDescent="0.25"/>
    <row r="945" ht="10.5" customHeight="1" x14ac:dyDescent="0.25"/>
    <row r="946" ht="10.5" customHeight="1" x14ac:dyDescent="0.25"/>
    <row r="947" ht="10.5" customHeight="1" x14ac:dyDescent="0.25"/>
    <row r="948" ht="10.5" customHeight="1" x14ac:dyDescent="0.25"/>
    <row r="949" ht="10.5" customHeight="1" x14ac:dyDescent="0.25"/>
    <row r="950" ht="10.5" customHeight="1" x14ac:dyDescent="0.25"/>
    <row r="951" ht="10.5" customHeight="1" x14ac:dyDescent="0.25"/>
    <row r="952" ht="10.5" customHeight="1" x14ac:dyDescent="0.25"/>
    <row r="953" ht="10.5" customHeight="1" x14ac:dyDescent="0.25"/>
    <row r="954" ht="10.5" customHeight="1" x14ac:dyDescent="0.25"/>
    <row r="955" ht="10.5" customHeight="1" x14ac:dyDescent="0.25"/>
    <row r="956" ht="10.5" customHeight="1" x14ac:dyDescent="0.25"/>
    <row r="957" ht="10.5" customHeight="1" x14ac:dyDescent="0.25"/>
    <row r="958" ht="10.5" customHeight="1" x14ac:dyDescent="0.25"/>
    <row r="959" ht="10.5" customHeight="1" x14ac:dyDescent="0.25"/>
    <row r="960" ht="10.5" customHeight="1" x14ac:dyDescent="0.25"/>
    <row r="961" ht="10.5" customHeight="1" x14ac:dyDescent="0.25"/>
    <row r="962" ht="10.5" customHeight="1" x14ac:dyDescent="0.25"/>
    <row r="963" ht="10.5" customHeight="1" x14ac:dyDescent="0.25"/>
    <row r="964" ht="10.5" customHeight="1" x14ac:dyDescent="0.25"/>
    <row r="965" ht="10.5" customHeight="1" x14ac:dyDescent="0.25"/>
    <row r="966" ht="10.5" customHeight="1" x14ac:dyDescent="0.25"/>
    <row r="967" ht="10.5" customHeight="1" x14ac:dyDescent="0.25"/>
    <row r="968" ht="10.5" customHeight="1" x14ac:dyDescent="0.25"/>
    <row r="969" ht="10.5" customHeight="1" x14ac:dyDescent="0.25"/>
    <row r="970" ht="10.5" customHeight="1" x14ac:dyDescent="0.25"/>
    <row r="971" ht="10.5" customHeight="1" x14ac:dyDescent="0.25"/>
    <row r="972" ht="10.5" customHeight="1" x14ac:dyDescent="0.25"/>
    <row r="973" ht="10.5" customHeight="1" x14ac:dyDescent="0.25"/>
    <row r="974" ht="10.5" customHeight="1" x14ac:dyDescent="0.25"/>
    <row r="975" ht="10.5" customHeight="1" x14ac:dyDescent="0.25"/>
    <row r="976" ht="10.5" customHeight="1" x14ac:dyDescent="0.25"/>
    <row r="977" ht="10.5" customHeight="1" x14ac:dyDescent="0.25"/>
    <row r="978" ht="10.5" customHeight="1" x14ac:dyDescent="0.25"/>
    <row r="979" ht="10.5" customHeight="1" x14ac:dyDescent="0.25"/>
    <row r="980" ht="10.5" customHeight="1" x14ac:dyDescent="0.25"/>
    <row r="981" ht="10.5" customHeight="1" x14ac:dyDescent="0.25"/>
    <row r="982" ht="10.5" customHeight="1" x14ac:dyDescent="0.25"/>
    <row r="983" ht="10.5" customHeight="1" x14ac:dyDescent="0.25"/>
    <row r="984" ht="10.5" customHeight="1" x14ac:dyDescent="0.25"/>
    <row r="985" ht="10.5" customHeight="1" x14ac:dyDescent="0.25"/>
    <row r="986" ht="10.5" customHeight="1" x14ac:dyDescent="0.25"/>
    <row r="987" ht="10.5" customHeight="1" x14ac:dyDescent="0.25"/>
    <row r="988" ht="10.5" customHeight="1" x14ac:dyDescent="0.25"/>
    <row r="989" ht="10.5" customHeight="1" x14ac:dyDescent="0.25"/>
    <row r="990" ht="10.5" customHeight="1" x14ac:dyDescent="0.25"/>
    <row r="991" ht="10.5" customHeight="1" x14ac:dyDescent="0.25"/>
    <row r="992" ht="10.5" customHeight="1" x14ac:dyDescent="0.25"/>
    <row r="993" ht="10.5" customHeight="1" x14ac:dyDescent="0.25"/>
    <row r="994" ht="10.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7"/>
  <sheetViews>
    <sheetView workbookViewId="0"/>
  </sheetViews>
  <sheetFormatPr defaultColWidth="14.453125" defaultRowHeight="12.5" x14ac:dyDescent="0.25"/>
  <cols>
    <col min="1" max="1" width="3.7265625" style="1" customWidth="1"/>
    <col min="2" max="2" width="50" style="1" customWidth="1"/>
    <col min="3" max="3" width="12" style="1" customWidth="1"/>
    <col min="4" max="6" width="17" style="1" customWidth="1"/>
    <col min="7" max="7" width="14.453125" style="1" customWidth="1"/>
    <col min="8" max="16384" width="14.453125" style="1"/>
  </cols>
  <sheetData>
    <row r="1" spans="1:9" ht="15.75" customHeight="1" x14ac:dyDescent="0.25"/>
    <row r="2" spans="1:9" ht="19.5" customHeight="1" x14ac:dyDescent="0.25">
      <c r="B2" s="20" t="s">
        <v>45</v>
      </c>
    </row>
    <row r="3" spans="1:9" ht="15.75" customHeight="1" x14ac:dyDescent="0.25">
      <c r="B3" s="255" t="s">
        <v>81</v>
      </c>
    </row>
    <row r="4" spans="1:9" ht="15.75" customHeight="1" x14ac:dyDescent="0.25"/>
    <row r="5" spans="1:9" ht="15.75" customHeight="1" x14ac:dyDescent="0.25">
      <c r="B5" s="14"/>
      <c r="C5" s="13" t="s">
        <v>99</v>
      </c>
      <c r="D5" s="16" t="s">
        <v>251</v>
      </c>
      <c r="E5" s="13" t="s">
        <v>252</v>
      </c>
      <c r="F5" s="13" t="s">
        <v>253</v>
      </c>
      <c r="G5" s="22"/>
      <c r="H5" s="22"/>
      <c r="I5" s="22"/>
    </row>
    <row r="6" spans="1:9" ht="15.75" customHeight="1" x14ac:dyDescent="0.25">
      <c r="B6" s="23"/>
      <c r="C6" s="23"/>
      <c r="D6" s="3"/>
      <c r="E6" s="23"/>
      <c r="F6" s="23"/>
    </row>
    <row r="7" spans="1:9" s="27" customFormat="1" ht="15.75" customHeight="1" x14ac:dyDescent="0.25">
      <c r="A7" s="1"/>
      <c r="B7" s="24" t="s">
        <v>307</v>
      </c>
      <c r="C7" s="25" t="s">
        <v>33</v>
      </c>
      <c r="D7" s="26">
        <f>D8+D12</f>
        <v>367744.98</v>
      </c>
      <c r="E7" s="26">
        <f>E8+E12</f>
        <v>15688328.18</v>
      </c>
      <c r="F7" s="26">
        <f>F8+F12</f>
        <v>56127280.979999997</v>
      </c>
    </row>
    <row r="8" spans="1:9" ht="15.75" customHeight="1" x14ac:dyDescent="0.25">
      <c r="B8" s="28" t="s">
        <v>308</v>
      </c>
      <c r="C8" s="29" t="s">
        <v>33</v>
      </c>
      <c r="D8" s="30">
        <f>SUM(D9:D11)</f>
        <v>0</v>
      </c>
      <c r="E8" s="30">
        <f>SUM(E9:E11)</f>
        <v>0</v>
      </c>
      <c r="F8" s="30">
        <f>SUM(F9:F11)</f>
        <v>0</v>
      </c>
    </row>
    <row r="9" spans="1:9" ht="15.75" customHeight="1" x14ac:dyDescent="0.25">
      <c r="B9" s="22" t="s">
        <v>309</v>
      </c>
      <c r="C9" s="31" t="s">
        <v>33</v>
      </c>
      <c r="D9" s="2">
        <v>0</v>
      </c>
      <c r="E9" s="2">
        <v>0</v>
      </c>
      <c r="F9" s="2">
        <v>0</v>
      </c>
    </row>
    <row r="10" spans="1:9" ht="15.75" customHeight="1" x14ac:dyDescent="0.25">
      <c r="B10" s="22" t="s">
        <v>310</v>
      </c>
      <c r="C10" s="31" t="s">
        <v>33</v>
      </c>
      <c r="D10" s="2">
        <v>0</v>
      </c>
      <c r="E10" s="2">
        <v>0</v>
      </c>
      <c r="F10" s="2">
        <v>0</v>
      </c>
    </row>
    <row r="11" spans="1:9" ht="15.75" customHeight="1" x14ac:dyDescent="0.25">
      <c r="B11" s="32" t="s">
        <v>311</v>
      </c>
      <c r="C11" s="33" t="s">
        <v>33</v>
      </c>
      <c r="D11" s="2">
        <v>0</v>
      </c>
      <c r="E11" s="2">
        <v>0</v>
      </c>
      <c r="F11" s="2">
        <v>0</v>
      </c>
    </row>
    <row r="12" spans="1:9" ht="15.75" customHeight="1" x14ac:dyDescent="0.25">
      <c r="B12" s="28" t="s">
        <v>312</v>
      </c>
      <c r="C12" s="29" t="s">
        <v>33</v>
      </c>
      <c r="D12" s="30">
        <f>SUM(D13:D16)</f>
        <v>367744.98</v>
      </c>
      <c r="E12" s="30">
        <f>SUM(E13:E16)</f>
        <v>15688328.18</v>
      </c>
      <c r="F12" s="30">
        <f>SUM(F13:F16)</f>
        <v>56127280.979999997</v>
      </c>
    </row>
    <row r="13" spans="1:9" ht="15.75" customHeight="1" x14ac:dyDescent="0.25">
      <c r="B13" s="22" t="s">
        <v>313</v>
      </c>
      <c r="C13" s="31" t="s">
        <v>33</v>
      </c>
      <c r="D13" s="2">
        <v>0</v>
      </c>
      <c r="E13" s="2">
        <v>0</v>
      </c>
      <c r="F13" s="2">
        <v>0</v>
      </c>
    </row>
    <row r="14" spans="1:9" ht="15.75" customHeight="1" x14ac:dyDescent="0.25">
      <c r="B14" s="22" t="s">
        <v>314</v>
      </c>
      <c r="C14" s="31" t="s">
        <v>33</v>
      </c>
      <c r="D14" s="2">
        <v>0</v>
      </c>
      <c r="E14" s="2">
        <v>0</v>
      </c>
      <c r="F14" s="2">
        <v>0</v>
      </c>
    </row>
    <row r="15" spans="1:9" ht="15.75" customHeight="1" x14ac:dyDescent="0.25">
      <c r="B15" s="22" t="s">
        <v>315</v>
      </c>
      <c r="C15" s="31" t="s">
        <v>33</v>
      </c>
      <c r="D15" s="2">
        <v>0</v>
      </c>
      <c r="E15" s="2">
        <v>0</v>
      </c>
      <c r="F15" s="2">
        <v>0</v>
      </c>
    </row>
    <row r="16" spans="1:9" ht="15.75" customHeight="1" x14ac:dyDescent="0.25">
      <c r="B16" s="32" t="s">
        <v>316</v>
      </c>
      <c r="C16" s="33" t="s">
        <v>33</v>
      </c>
      <c r="D16" s="35">
        <f>'5Y – Results'!C31</f>
        <v>367744.98</v>
      </c>
      <c r="E16" s="35">
        <f>'5Y – Results'!D31</f>
        <v>15688328.18</v>
      </c>
      <c r="F16" s="35">
        <f>'5Y – Results'!E31</f>
        <v>56127280.979999997</v>
      </c>
    </row>
    <row r="17" spans="1:7" s="27" customFormat="1" ht="15.75" customHeight="1" x14ac:dyDescent="0.25">
      <c r="A17" s="1"/>
      <c r="B17" s="24" t="s">
        <v>317</v>
      </c>
      <c r="C17" s="25" t="s">
        <v>33</v>
      </c>
      <c r="D17" s="26">
        <f>D18+D22</f>
        <v>367744.98</v>
      </c>
      <c r="E17" s="26">
        <f>E18+E22</f>
        <v>15688328.18</v>
      </c>
      <c r="F17" s="26">
        <f>F18+F22</f>
        <v>56127280.979999997</v>
      </c>
    </row>
    <row r="18" spans="1:7" ht="15.75" customHeight="1" x14ac:dyDescent="0.25">
      <c r="B18" s="28" t="s">
        <v>318</v>
      </c>
      <c r="C18" s="29" t="s">
        <v>33</v>
      </c>
      <c r="D18" s="30">
        <f>SUM(D19:D21)</f>
        <v>-2058895.3512499998</v>
      </c>
      <c r="E18" s="30">
        <f>SUM(E19:E21)</f>
        <v>13914812.848749999</v>
      </c>
      <c r="F18" s="30">
        <f>SUM(F19:F21)</f>
        <v>54428765.64875</v>
      </c>
    </row>
    <row r="19" spans="1:7" ht="15.75" customHeight="1" x14ac:dyDescent="0.25">
      <c r="B19" s="22" t="s">
        <v>319</v>
      </c>
      <c r="C19" s="31" t="s">
        <v>33</v>
      </c>
      <c r="D19" s="2">
        <v>0</v>
      </c>
      <c r="E19" s="2">
        <v>0</v>
      </c>
      <c r="F19" s="2">
        <v>0</v>
      </c>
      <c r="G19" s="22"/>
    </row>
    <row r="20" spans="1:7" ht="15.75" customHeight="1" x14ac:dyDescent="0.25">
      <c r="B20" s="22" t="s">
        <v>320</v>
      </c>
      <c r="C20" s="31" t="s">
        <v>33</v>
      </c>
      <c r="D20" s="2">
        <f>D7-D22-D19-D21</f>
        <v>-1832872.8437499998</v>
      </c>
      <c r="E20" s="2">
        <f>E7-E22-E19-E21</f>
        <v>-2058895.3518672064</v>
      </c>
      <c r="F20" s="2">
        <f>F7-F22-F19-F21</f>
        <v>13914812.847224668</v>
      </c>
    </row>
    <row r="21" spans="1:7" ht="15.75" customHeight="1" x14ac:dyDescent="0.25">
      <c r="B21" s="22" t="s">
        <v>321</v>
      </c>
      <c r="C21" s="31" t="s">
        <v>33</v>
      </c>
      <c r="D21" s="2">
        <f>'5Y – Results'!C19</f>
        <v>-226022.50750000001</v>
      </c>
      <c r="E21" s="2">
        <f>'5Y – Results'!D19</f>
        <v>15973708.200617205</v>
      </c>
      <c r="F21" s="2">
        <f>'5Y – Results'!E19</f>
        <v>40513952.801525332</v>
      </c>
    </row>
    <row r="22" spans="1:7" ht="15.75" customHeight="1" x14ac:dyDescent="0.25">
      <c r="B22" s="28" t="s">
        <v>322</v>
      </c>
      <c r="C22" s="29" t="s">
        <v>33</v>
      </c>
      <c r="D22" s="30">
        <f>SUM(D23:D26)</f>
        <v>2426640.3312499998</v>
      </c>
      <c r="E22" s="30">
        <f>SUM(E23:E26)</f>
        <v>1773515.33125</v>
      </c>
      <c r="F22" s="30">
        <f>SUM(F23:F26)</f>
        <v>1698515.33125</v>
      </c>
    </row>
    <row r="23" spans="1:7" ht="15.75" customHeight="1" x14ac:dyDescent="0.25">
      <c r="B23" s="22" t="s">
        <v>323</v>
      </c>
      <c r="C23" s="31" t="s">
        <v>33</v>
      </c>
      <c r="D23" s="2">
        <v>291583.83124999999</v>
      </c>
      <c r="E23" s="2">
        <v>241583.83124999999</v>
      </c>
      <c r="F23" s="34">
        <v>166583.83124999999</v>
      </c>
    </row>
    <row r="24" spans="1:7" ht="15.75" customHeight="1" x14ac:dyDescent="0.25">
      <c r="B24" s="22" t="s">
        <v>324</v>
      </c>
      <c r="C24" s="31" t="s">
        <v>33</v>
      </c>
      <c r="D24" s="2">
        <v>603125</v>
      </c>
      <c r="E24" s="2">
        <v>0</v>
      </c>
      <c r="F24" s="2">
        <v>0</v>
      </c>
    </row>
    <row r="25" spans="1:7" ht="15.75" customHeight="1" x14ac:dyDescent="0.25">
      <c r="B25" s="22" t="s">
        <v>325</v>
      </c>
      <c r="C25" s="31" t="s">
        <v>33</v>
      </c>
      <c r="D25" s="34">
        <v>1531931.5</v>
      </c>
      <c r="E25" s="34">
        <v>1531931.5</v>
      </c>
      <c r="F25" s="34">
        <v>1531931.5</v>
      </c>
    </row>
    <row r="26" spans="1:7" ht="15.75" customHeight="1" x14ac:dyDescent="0.25">
      <c r="B26" s="32" t="s">
        <v>326</v>
      </c>
      <c r="C26" s="33" t="s">
        <v>33</v>
      </c>
      <c r="D26" s="35">
        <v>0</v>
      </c>
      <c r="E26" s="35">
        <v>0</v>
      </c>
      <c r="F26" s="35">
        <v>0</v>
      </c>
    </row>
    <row r="27" spans="1:7" s="127" customFormat="1" ht="15.75" customHeight="1" x14ac:dyDescent="0.25">
      <c r="B27" s="123"/>
      <c r="C27" s="125"/>
      <c r="D27" s="296"/>
      <c r="E27" s="296"/>
      <c r="F27" s="296"/>
    </row>
    <row r="28" spans="1:7" ht="15.5" customHeight="1" x14ac:dyDescent="0.25">
      <c r="B28" s="297" t="s">
        <v>327</v>
      </c>
      <c r="C28" s="37"/>
      <c r="D28" s="38">
        <f>ROUND(D7-D17,2)</f>
        <v>0</v>
      </c>
      <c r="E28" s="38">
        <f>ROUND(E7-E17,2)</f>
        <v>0</v>
      </c>
      <c r="F28" s="38">
        <f>ROUND(F7-F17,2)</f>
        <v>0</v>
      </c>
    </row>
    <row r="29" spans="1:7" ht="10.5" customHeight="1" x14ac:dyDescent="0.25">
      <c r="B29" s="36"/>
      <c r="C29" s="36"/>
      <c r="D29" s="39"/>
      <c r="E29" s="39"/>
      <c r="F29" s="39"/>
    </row>
    <row r="30" spans="1:7" ht="10.5" customHeight="1" x14ac:dyDescent="0.25"/>
    <row r="31" spans="1:7" ht="10.5" customHeight="1" x14ac:dyDescent="0.25"/>
    <row r="32" spans="1:7" ht="10.5" customHeight="1" x14ac:dyDescent="0.25"/>
    <row r="33" ht="10.5" customHeight="1" x14ac:dyDescent="0.25"/>
    <row r="34" ht="10.5" customHeight="1" x14ac:dyDescent="0.25"/>
    <row r="35" ht="10.5" customHeight="1" x14ac:dyDescent="0.25"/>
    <row r="36" ht="10.5" customHeight="1" x14ac:dyDescent="0.25"/>
    <row r="37" ht="10.5" customHeight="1" x14ac:dyDescent="0.25"/>
    <row r="38" ht="10.5" customHeight="1" x14ac:dyDescent="0.25"/>
    <row r="39" ht="10.5" customHeight="1" x14ac:dyDescent="0.25"/>
    <row r="40" ht="10.5" customHeight="1" x14ac:dyDescent="0.25"/>
    <row r="41" ht="10.5" customHeight="1" x14ac:dyDescent="0.25"/>
    <row r="42" ht="10.5" customHeight="1" x14ac:dyDescent="0.25"/>
    <row r="43" ht="10.5" customHeight="1" x14ac:dyDescent="0.25"/>
    <row r="44" ht="10.5" customHeight="1" x14ac:dyDescent="0.25"/>
    <row r="45" ht="10.5" customHeight="1" x14ac:dyDescent="0.25"/>
    <row r="46" ht="10.5" customHeight="1" x14ac:dyDescent="0.25"/>
    <row r="47" ht="10.5" customHeight="1" x14ac:dyDescent="0.25"/>
    <row r="48" ht="10.5" customHeight="1" x14ac:dyDescent="0.25"/>
    <row r="49" ht="10.5" customHeight="1" x14ac:dyDescent="0.25"/>
    <row r="50" ht="10.5" customHeight="1" x14ac:dyDescent="0.25"/>
    <row r="51" ht="10.5" customHeight="1" x14ac:dyDescent="0.25"/>
    <row r="52" ht="10.5" customHeight="1" x14ac:dyDescent="0.25"/>
    <row r="53" ht="10.5" customHeight="1" x14ac:dyDescent="0.25"/>
    <row r="54" ht="10.5" customHeight="1" x14ac:dyDescent="0.25"/>
    <row r="55" ht="10.5" customHeight="1" x14ac:dyDescent="0.25"/>
    <row r="56" ht="10.5" customHeight="1" x14ac:dyDescent="0.25"/>
    <row r="57" ht="10.5" customHeight="1" x14ac:dyDescent="0.25"/>
    <row r="58" ht="10.5" customHeight="1" x14ac:dyDescent="0.25"/>
    <row r="59" ht="10.5" customHeight="1" x14ac:dyDescent="0.25"/>
    <row r="60" ht="10.5" customHeight="1" x14ac:dyDescent="0.25"/>
    <row r="61" ht="10.5" customHeight="1" x14ac:dyDescent="0.25"/>
    <row r="62" ht="10.5" customHeight="1" x14ac:dyDescent="0.25"/>
    <row r="63" ht="10.5" customHeight="1" x14ac:dyDescent="0.25"/>
    <row r="64" ht="10.5" customHeight="1" x14ac:dyDescent="0.25"/>
    <row r="65" ht="10.5" customHeight="1" x14ac:dyDescent="0.25"/>
    <row r="66" ht="10.5" customHeight="1" x14ac:dyDescent="0.25"/>
    <row r="67" ht="10.5" customHeight="1" x14ac:dyDescent="0.25"/>
    <row r="68" ht="10.5" customHeight="1" x14ac:dyDescent="0.25"/>
    <row r="69" ht="10.5" customHeight="1" x14ac:dyDescent="0.25"/>
    <row r="70" ht="10.5" customHeight="1" x14ac:dyDescent="0.25"/>
    <row r="71" ht="10.5" customHeight="1" x14ac:dyDescent="0.25"/>
    <row r="72" ht="10.5" customHeight="1" x14ac:dyDescent="0.25"/>
    <row r="73" ht="10.5" customHeight="1" x14ac:dyDescent="0.25"/>
    <row r="74" ht="10.5" customHeight="1" x14ac:dyDescent="0.25"/>
    <row r="75" ht="10.5" customHeight="1" x14ac:dyDescent="0.25"/>
    <row r="76" ht="10.5" customHeight="1" x14ac:dyDescent="0.25"/>
    <row r="77" ht="10.5" customHeight="1" x14ac:dyDescent="0.25"/>
    <row r="78" ht="10.5" customHeight="1" x14ac:dyDescent="0.25"/>
    <row r="79" ht="10.5" customHeight="1" x14ac:dyDescent="0.25"/>
    <row r="80" ht="10.5" customHeight="1" x14ac:dyDescent="0.25"/>
    <row r="81" ht="10.5" customHeight="1" x14ac:dyDescent="0.25"/>
    <row r="82" ht="10.5" customHeight="1" x14ac:dyDescent="0.25"/>
    <row r="83" ht="10.5" customHeight="1" x14ac:dyDescent="0.25"/>
    <row r="84" ht="10.5" customHeight="1" x14ac:dyDescent="0.25"/>
    <row r="85" ht="10.5" customHeight="1" x14ac:dyDescent="0.25"/>
    <row r="86" ht="10.5" customHeight="1" x14ac:dyDescent="0.25"/>
    <row r="87" ht="10.5" customHeight="1" x14ac:dyDescent="0.25"/>
    <row r="88" ht="10.5" customHeight="1" x14ac:dyDescent="0.25"/>
    <row r="89" ht="10.5" customHeight="1" x14ac:dyDescent="0.25"/>
    <row r="90" ht="10.5" customHeight="1" x14ac:dyDescent="0.25"/>
    <row r="91" ht="10.5" customHeight="1" x14ac:dyDescent="0.25"/>
    <row r="92" ht="10.5" customHeight="1" x14ac:dyDescent="0.25"/>
    <row r="93" ht="10.5" customHeight="1" x14ac:dyDescent="0.25"/>
    <row r="94" ht="10.5" customHeight="1" x14ac:dyDescent="0.25"/>
    <row r="95" ht="10.5" customHeight="1" x14ac:dyDescent="0.25"/>
    <row r="96" ht="10.5" customHeight="1" x14ac:dyDescent="0.25"/>
    <row r="97" ht="10.5" customHeight="1" x14ac:dyDescent="0.25"/>
    <row r="98" ht="10.5" customHeight="1" x14ac:dyDescent="0.25"/>
    <row r="99" ht="10.5" customHeight="1" x14ac:dyDescent="0.25"/>
    <row r="100" ht="10.5" customHeight="1" x14ac:dyDescent="0.25"/>
    <row r="101" ht="10.5" customHeight="1" x14ac:dyDescent="0.25"/>
    <row r="102" ht="10.5" customHeight="1" x14ac:dyDescent="0.25"/>
    <row r="103" ht="10.5" customHeight="1" x14ac:dyDescent="0.25"/>
    <row r="104" ht="10.5" customHeight="1" x14ac:dyDescent="0.25"/>
    <row r="105" ht="10.5" customHeight="1" x14ac:dyDescent="0.25"/>
    <row r="106" ht="10.5" customHeight="1" x14ac:dyDescent="0.25"/>
    <row r="107" ht="10.5" customHeight="1" x14ac:dyDescent="0.25"/>
    <row r="108" ht="10.5" customHeight="1" x14ac:dyDescent="0.25"/>
    <row r="109" ht="10.5" customHeight="1" x14ac:dyDescent="0.25"/>
    <row r="110" ht="10.5" customHeight="1" x14ac:dyDescent="0.25"/>
    <row r="111" ht="10.5" customHeight="1" x14ac:dyDescent="0.25"/>
    <row r="112" ht="10.5" customHeight="1" x14ac:dyDescent="0.25"/>
    <row r="113" ht="10.5" customHeight="1" x14ac:dyDescent="0.25"/>
    <row r="114" ht="10.5" customHeight="1" x14ac:dyDescent="0.25"/>
    <row r="115" ht="10.5" customHeight="1" x14ac:dyDescent="0.25"/>
    <row r="116" ht="10.5" customHeight="1" x14ac:dyDescent="0.25"/>
    <row r="117" ht="10.5" customHeight="1" x14ac:dyDescent="0.25"/>
    <row r="118" ht="10.5" customHeight="1" x14ac:dyDescent="0.25"/>
    <row r="119" ht="10.5" customHeight="1" x14ac:dyDescent="0.25"/>
    <row r="120" ht="10.5" customHeight="1" x14ac:dyDescent="0.25"/>
    <row r="121" ht="10.5" customHeight="1" x14ac:dyDescent="0.25"/>
    <row r="122" ht="10.5" customHeight="1" x14ac:dyDescent="0.25"/>
    <row r="123" ht="10.5" customHeight="1" x14ac:dyDescent="0.25"/>
    <row r="124" ht="10.5" customHeight="1" x14ac:dyDescent="0.25"/>
    <row r="125" ht="10.5" customHeight="1" x14ac:dyDescent="0.25"/>
    <row r="126" ht="10.5" customHeight="1" x14ac:dyDescent="0.25"/>
    <row r="127" ht="10.5" customHeight="1" x14ac:dyDescent="0.25"/>
    <row r="128" ht="10.5" customHeight="1" x14ac:dyDescent="0.25"/>
    <row r="129" ht="10.5" customHeight="1" x14ac:dyDescent="0.25"/>
    <row r="130" ht="10.5" customHeight="1" x14ac:dyDescent="0.25"/>
    <row r="131" ht="10.5" customHeight="1" x14ac:dyDescent="0.25"/>
    <row r="132" ht="10.5" customHeight="1" x14ac:dyDescent="0.25"/>
    <row r="133" ht="10.5" customHeight="1" x14ac:dyDescent="0.25"/>
    <row r="134" ht="10.5" customHeight="1" x14ac:dyDescent="0.25"/>
    <row r="135" ht="10.5" customHeight="1" x14ac:dyDescent="0.25"/>
    <row r="136" ht="10.5" customHeight="1" x14ac:dyDescent="0.25"/>
    <row r="137" ht="10.5" customHeight="1" x14ac:dyDescent="0.25"/>
    <row r="138" ht="10.5" customHeight="1" x14ac:dyDescent="0.25"/>
    <row r="139" ht="10.5" customHeight="1" x14ac:dyDescent="0.25"/>
    <row r="140" ht="10.5" customHeight="1" x14ac:dyDescent="0.25"/>
    <row r="141" ht="10.5" customHeight="1" x14ac:dyDescent="0.25"/>
    <row r="142" ht="10.5" customHeight="1" x14ac:dyDescent="0.25"/>
    <row r="143" ht="10.5" customHeight="1" x14ac:dyDescent="0.25"/>
    <row r="144" ht="10.5" customHeight="1" x14ac:dyDescent="0.25"/>
    <row r="145" ht="10.5" customHeight="1" x14ac:dyDescent="0.25"/>
    <row r="146" ht="10.5" customHeight="1" x14ac:dyDescent="0.25"/>
    <row r="147" ht="10.5" customHeight="1" x14ac:dyDescent="0.25"/>
    <row r="148" ht="10.5" customHeight="1" x14ac:dyDescent="0.25"/>
    <row r="149" ht="10.5" customHeight="1" x14ac:dyDescent="0.25"/>
    <row r="150" ht="10.5" customHeight="1" x14ac:dyDescent="0.25"/>
    <row r="151" ht="10.5" customHeight="1" x14ac:dyDescent="0.25"/>
    <row r="152" ht="10.5" customHeight="1" x14ac:dyDescent="0.25"/>
    <row r="153" ht="10.5" customHeight="1" x14ac:dyDescent="0.25"/>
    <row r="154" ht="10.5" customHeight="1" x14ac:dyDescent="0.25"/>
    <row r="155" ht="10.5" customHeight="1" x14ac:dyDescent="0.25"/>
    <row r="156" ht="10.5" customHeight="1" x14ac:dyDescent="0.25"/>
    <row r="157" ht="10.5" customHeight="1" x14ac:dyDescent="0.25"/>
    <row r="158" ht="10.5" customHeight="1" x14ac:dyDescent="0.25"/>
    <row r="159" ht="10.5" customHeight="1" x14ac:dyDescent="0.25"/>
    <row r="160" ht="10.5" customHeight="1" x14ac:dyDescent="0.25"/>
    <row r="161" ht="10.5" customHeight="1" x14ac:dyDescent="0.25"/>
    <row r="162" ht="10.5" customHeight="1" x14ac:dyDescent="0.25"/>
    <row r="163" ht="10.5" customHeight="1" x14ac:dyDescent="0.25"/>
    <row r="164" ht="10.5" customHeight="1" x14ac:dyDescent="0.25"/>
    <row r="165" ht="10.5" customHeight="1" x14ac:dyDescent="0.25"/>
    <row r="166" ht="10.5" customHeight="1" x14ac:dyDescent="0.25"/>
    <row r="167" ht="10.5" customHeight="1" x14ac:dyDescent="0.25"/>
    <row r="168" ht="10.5" customHeight="1" x14ac:dyDescent="0.25"/>
    <row r="169" ht="10.5" customHeight="1" x14ac:dyDescent="0.25"/>
    <row r="170" ht="10.5" customHeight="1" x14ac:dyDescent="0.25"/>
    <row r="171" ht="10.5" customHeight="1" x14ac:dyDescent="0.25"/>
    <row r="172" ht="10.5" customHeight="1" x14ac:dyDescent="0.25"/>
    <row r="173" ht="10.5" customHeight="1" x14ac:dyDescent="0.25"/>
    <row r="174" ht="10.5" customHeight="1" x14ac:dyDescent="0.25"/>
    <row r="175" ht="10.5" customHeight="1" x14ac:dyDescent="0.25"/>
    <row r="176" ht="10.5" customHeight="1" x14ac:dyDescent="0.25"/>
    <row r="177" ht="10.5" customHeight="1" x14ac:dyDescent="0.25"/>
    <row r="178" ht="10.5" customHeight="1" x14ac:dyDescent="0.25"/>
    <row r="179" ht="10.5" customHeight="1" x14ac:dyDescent="0.25"/>
    <row r="180" ht="10.5" customHeight="1" x14ac:dyDescent="0.25"/>
    <row r="181" ht="10.5" customHeight="1" x14ac:dyDescent="0.25"/>
    <row r="182" ht="10.5" customHeight="1" x14ac:dyDescent="0.25"/>
    <row r="183" ht="10.5" customHeight="1" x14ac:dyDescent="0.25"/>
    <row r="184" ht="10.5" customHeight="1" x14ac:dyDescent="0.25"/>
    <row r="185" ht="10.5" customHeight="1" x14ac:dyDescent="0.25"/>
    <row r="186" ht="10.5" customHeight="1" x14ac:dyDescent="0.25"/>
    <row r="187" ht="10.5" customHeight="1" x14ac:dyDescent="0.25"/>
    <row r="188" ht="10.5" customHeight="1" x14ac:dyDescent="0.25"/>
    <row r="189" ht="10.5" customHeight="1" x14ac:dyDescent="0.25"/>
    <row r="190" ht="10.5" customHeight="1" x14ac:dyDescent="0.25"/>
    <row r="191" ht="10.5" customHeight="1" x14ac:dyDescent="0.25"/>
    <row r="192" ht="10.5" customHeight="1" x14ac:dyDescent="0.25"/>
    <row r="193" ht="10.5" customHeight="1" x14ac:dyDescent="0.25"/>
    <row r="194" ht="10.5" customHeight="1" x14ac:dyDescent="0.25"/>
    <row r="195" ht="10.5" customHeight="1" x14ac:dyDescent="0.25"/>
    <row r="196" ht="10.5" customHeight="1" x14ac:dyDescent="0.25"/>
    <row r="197" ht="10.5" customHeight="1" x14ac:dyDescent="0.25"/>
    <row r="198" ht="10.5" customHeight="1" x14ac:dyDescent="0.25"/>
    <row r="199" ht="10.5" customHeight="1" x14ac:dyDescent="0.25"/>
    <row r="200" ht="10.5" customHeight="1" x14ac:dyDescent="0.25"/>
    <row r="201" ht="10.5" customHeight="1" x14ac:dyDescent="0.25"/>
    <row r="202" ht="10.5" customHeight="1" x14ac:dyDescent="0.25"/>
    <row r="203" ht="10.5" customHeight="1" x14ac:dyDescent="0.25"/>
    <row r="204" ht="10.5" customHeight="1" x14ac:dyDescent="0.25"/>
    <row r="205" ht="10.5" customHeight="1" x14ac:dyDescent="0.25"/>
    <row r="206" ht="10.5" customHeight="1" x14ac:dyDescent="0.25"/>
    <row r="207" ht="10.5" customHeight="1" x14ac:dyDescent="0.25"/>
    <row r="208" ht="10.5" customHeight="1" x14ac:dyDescent="0.25"/>
    <row r="209" ht="10.5" customHeight="1" x14ac:dyDescent="0.25"/>
    <row r="210" ht="10.5" customHeight="1" x14ac:dyDescent="0.25"/>
    <row r="211" ht="10.5" customHeight="1" x14ac:dyDescent="0.25"/>
    <row r="212" ht="10.5" customHeight="1" x14ac:dyDescent="0.25"/>
    <row r="213" ht="10.5" customHeight="1" x14ac:dyDescent="0.25"/>
    <row r="214" ht="10.5" customHeight="1" x14ac:dyDescent="0.25"/>
    <row r="215" ht="10.5" customHeight="1" x14ac:dyDescent="0.25"/>
    <row r="216" ht="10.5" customHeight="1" x14ac:dyDescent="0.25"/>
    <row r="217" ht="10.5" customHeight="1" x14ac:dyDescent="0.25"/>
    <row r="218" ht="10.5" customHeight="1" x14ac:dyDescent="0.25"/>
    <row r="219" ht="10.5" customHeight="1" x14ac:dyDescent="0.25"/>
    <row r="220" ht="10.5" customHeight="1" x14ac:dyDescent="0.25"/>
    <row r="221" ht="10.5" customHeight="1" x14ac:dyDescent="0.25"/>
    <row r="222" ht="10.5" customHeight="1" x14ac:dyDescent="0.25"/>
    <row r="223" ht="10.5" customHeight="1" x14ac:dyDescent="0.25"/>
    <row r="224" ht="10.5" customHeight="1" x14ac:dyDescent="0.25"/>
    <row r="225" ht="10.5" customHeight="1" x14ac:dyDescent="0.25"/>
    <row r="226" ht="10.5" customHeight="1" x14ac:dyDescent="0.25"/>
    <row r="227" ht="10.5" customHeight="1" x14ac:dyDescent="0.25"/>
    <row r="228" ht="10.5" customHeight="1" x14ac:dyDescent="0.25"/>
    <row r="229" ht="10.5" customHeight="1" x14ac:dyDescent="0.25"/>
    <row r="230" ht="10.5" customHeight="1" x14ac:dyDescent="0.25"/>
    <row r="231" ht="10.5" customHeight="1" x14ac:dyDescent="0.25"/>
    <row r="232" ht="10.5" customHeight="1" x14ac:dyDescent="0.25"/>
    <row r="233" ht="10.5" customHeight="1" x14ac:dyDescent="0.25"/>
    <row r="234" ht="10.5" customHeight="1" x14ac:dyDescent="0.25"/>
    <row r="235" ht="10.5" customHeight="1" x14ac:dyDescent="0.25"/>
    <row r="236" ht="10.5" customHeight="1" x14ac:dyDescent="0.25"/>
    <row r="237" ht="10.5" customHeight="1" x14ac:dyDescent="0.25"/>
    <row r="238" ht="10.5" customHeight="1" x14ac:dyDescent="0.25"/>
    <row r="239" ht="10.5" customHeight="1" x14ac:dyDescent="0.25"/>
    <row r="240" ht="10.5" customHeight="1" x14ac:dyDescent="0.25"/>
    <row r="241" ht="10.5" customHeight="1" x14ac:dyDescent="0.25"/>
    <row r="242" ht="10.5" customHeight="1" x14ac:dyDescent="0.25"/>
    <row r="243" ht="10.5" customHeight="1" x14ac:dyDescent="0.25"/>
    <row r="244" ht="10.5" customHeight="1" x14ac:dyDescent="0.25"/>
    <row r="245" ht="10.5" customHeight="1" x14ac:dyDescent="0.25"/>
    <row r="246" ht="10.5" customHeight="1" x14ac:dyDescent="0.25"/>
    <row r="247" ht="10.5" customHeight="1" x14ac:dyDescent="0.25"/>
    <row r="248" ht="10.5" customHeight="1" x14ac:dyDescent="0.25"/>
    <row r="249" ht="10.5" customHeight="1" x14ac:dyDescent="0.25"/>
    <row r="250" ht="10.5" customHeight="1" x14ac:dyDescent="0.25"/>
    <row r="251" ht="10.5" customHeight="1" x14ac:dyDescent="0.25"/>
    <row r="252" ht="10.5" customHeight="1" x14ac:dyDescent="0.25"/>
    <row r="253" ht="10.5" customHeight="1" x14ac:dyDescent="0.25"/>
    <row r="254" ht="10.5" customHeight="1" x14ac:dyDescent="0.25"/>
    <row r="255" ht="10.5" customHeight="1" x14ac:dyDescent="0.25"/>
    <row r="256" ht="10.5" customHeight="1" x14ac:dyDescent="0.25"/>
    <row r="257" ht="10.5" customHeight="1" x14ac:dyDescent="0.25"/>
    <row r="258" ht="10.5" customHeight="1" x14ac:dyDescent="0.25"/>
    <row r="259" ht="10.5" customHeight="1" x14ac:dyDescent="0.25"/>
    <row r="260" ht="10.5" customHeight="1" x14ac:dyDescent="0.25"/>
    <row r="261" ht="10.5" customHeight="1" x14ac:dyDescent="0.25"/>
    <row r="262" ht="10.5" customHeight="1" x14ac:dyDescent="0.25"/>
    <row r="263" ht="10.5" customHeight="1" x14ac:dyDescent="0.25"/>
    <row r="264" ht="10.5" customHeight="1" x14ac:dyDescent="0.25"/>
    <row r="265" ht="10.5" customHeight="1" x14ac:dyDescent="0.25"/>
    <row r="266" ht="10.5" customHeight="1" x14ac:dyDescent="0.25"/>
    <row r="267" ht="10.5" customHeight="1" x14ac:dyDescent="0.25"/>
    <row r="268" ht="10.5" customHeight="1" x14ac:dyDescent="0.25"/>
    <row r="269" ht="10.5" customHeight="1" x14ac:dyDescent="0.25"/>
    <row r="270" ht="10.5" customHeight="1" x14ac:dyDescent="0.25"/>
    <row r="271" ht="10.5" customHeight="1" x14ac:dyDescent="0.25"/>
    <row r="272" ht="10.5" customHeight="1" x14ac:dyDescent="0.25"/>
    <row r="273" ht="10.5" customHeight="1" x14ac:dyDescent="0.25"/>
    <row r="274" ht="10.5" customHeight="1" x14ac:dyDescent="0.25"/>
    <row r="275" ht="10.5" customHeight="1" x14ac:dyDescent="0.25"/>
    <row r="276" ht="10.5" customHeight="1" x14ac:dyDescent="0.25"/>
    <row r="277" ht="10.5" customHeight="1" x14ac:dyDescent="0.25"/>
    <row r="278" ht="10.5" customHeight="1" x14ac:dyDescent="0.25"/>
    <row r="279" ht="10.5" customHeight="1" x14ac:dyDescent="0.25"/>
    <row r="280" ht="10.5" customHeight="1" x14ac:dyDescent="0.25"/>
    <row r="281" ht="10.5" customHeight="1" x14ac:dyDescent="0.25"/>
    <row r="282" ht="10.5" customHeight="1" x14ac:dyDescent="0.25"/>
    <row r="283" ht="10.5" customHeight="1" x14ac:dyDescent="0.25"/>
    <row r="284" ht="10.5" customHeight="1" x14ac:dyDescent="0.25"/>
    <row r="285" ht="10.5" customHeight="1" x14ac:dyDescent="0.25"/>
    <row r="286" ht="10.5" customHeight="1" x14ac:dyDescent="0.25"/>
    <row r="287" ht="10.5" customHeight="1" x14ac:dyDescent="0.25"/>
    <row r="288" ht="10.5" customHeight="1" x14ac:dyDescent="0.25"/>
    <row r="289" ht="10.5" customHeight="1" x14ac:dyDescent="0.25"/>
    <row r="290" ht="10.5" customHeight="1" x14ac:dyDescent="0.25"/>
    <row r="291" ht="10.5" customHeight="1" x14ac:dyDescent="0.25"/>
    <row r="292" ht="10.5" customHeight="1" x14ac:dyDescent="0.25"/>
    <row r="293" ht="10.5" customHeight="1" x14ac:dyDescent="0.25"/>
    <row r="294" ht="10.5" customHeight="1" x14ac:dyDescent="0.25"/>
    <row r="295" ht="10.5" customHeight="1" x14ac:dyDescent="0.25"/>
    <row r="296" ht="10.5" customHeight="1" x14ac:dyDescent="0.25"/>
    <row r="297" ht="10.5" customHeight="1" x14ac:dyDescent="0.25"/>
    <row r="298" ht="10.5" customHeight="1" x14ac:dyDescent="0.25"/>
    <row r="299" ht="10.5" customHeight="1" x14ac:dyDescent="0.25"/>
    <row r="300" ht="10.5" customHeight="1" x14ac:dyDescent="0.25"/>
    <row r="301" ht="10.5" customHeight="1" x14ac:dyDescent="0.25"/>
    <row r="302" ht="10.5" customHeight="1" x14ac:dyDescent="0.25"/>
    <row r="303" ht="10.5" customHeight="1" x14ac:dyDescent="0.25"/>
    <row r="304" ht="10.5" customHeight="1" x14ac:dyDescent="0.25"/>
    <row r="305" ht="10.5" customHeight="1" x14ac:dyDescent="0.25"/>
    <row r="306" ht="10.5" customHeight="1" x14ac:dyDescent="0.25"/>
    <row r="307" ht="10.5" customHeight="1" x14ac:dyDescent="0.25"/>
    <row r="308" ht="10.5" customHeight="1" x14ac:dyDescent="0.25"/>
    <row r="309" ht="10.5" customHeight="1" x14ac:dyDescent="0.25"/>
    <row r="310" ht="10.5" customHeight="1" x14ac:dyDescent="0.25"/>
    <row r="311" ht="10.5" customHeight="1" x14ac:dyDescent="0.25"/>
    <row r="312" ht="10.5" customHeight="1" x14ac:dyDescent="0.25"/>
    <row r="313" ht="10.5" customHeight="1" x14ac:dyDescent="0.25"/>
    <row r="314" ht="10.5" customHeight="1" x14ac:dyDescent="0.25"/>
    <row r="315" ht="10.5" customHeight="1" x14ac:dyDescent="0.25"/>
    <row r="316" ht="10.5" customHeight="1" x14ac:dyDescent="0.25"/>
    <row r="317" ht="10.5" customHeight="1" x14ac:dyDescent="0.25"/>
    <row r="318" ht="10.5" customHeight="1" x14ac:dyDescent="0.25"/>
    <row r="319" ht="10.5" customHeight="1" x14ac:dyDescent="0.25"/>
    <row r="320" ht="10.5" customHeight="1" x14ac:dyDescent="0.25"/>
    <row r="321" ht="10.5" customHeight="1" x14ac:dyDescent="0.25"/>
    <row r="322" ht="10.5" customHeight="1" x14ac:dyDescent="0.25"/>
    <row r="323" ht="10.5" customHeight="1" x14ac:dyDescent="0.25"/>
    <row r="324" ht="10.5" customHeight="1" x14ac:dyDescent="0.25"/>
    <row r="325" ht="10.5" customHeight="1" x14ac:dyDescent="0.25"/>
    <row r="326" ht="10.5" customHeight="1" x14ac:dyDescent="0.25"/>
    <row r="327" ht="10.5" customHeight="1" x14ac:dyDescent="0.25"/>
    <row r="328" ht="10.5" customHeight="1" x14ac:dyDescent="0.25"/>
    <row r="329" ht="10.5" customHeight="1" x14ac:dyDescent="0.25"/>
    <row r="330" ht="10.5" customHeight="1" x14ac:dyDescent="0.25"/>
    <row r="331" ht="10.5" customHeight="1" x14ac:dyDescent="0.25"/>
    <row r="332" ht="10.5" customHeight="1" x14ac:dyDescent="0.25"/>
    <row r="333" ht="10.5" customHeight="1" x14ac:dyDescent="0.25"/>
    <row r="334" ht="10.5" customHeight="1" x14ac:dyDescent="0.25"/>
    <row r="335" ht="10.5" customHeight="1" x14ac:dyDescent="0.25"/>
    <row r="336" ht="10.5" customHeight="1" x14ac:dyDescent="0.25"/>
    <row r="337" ht="10.5" customHeight="1" x14ac:dyDescent="0.25"/>
    <row r="338" ht="10.5" customHeight="1" x14ac:dyDescent="0.25"/>
    <row r="339" ht="10.5" customHeight="1" x14ac:dyDescent="0.25"/>
    <row r="340" ht="10.5" customHeight="1" x14ac:dyDescent="0.25"/>
    <row r="341" ht="10.5" customHeight="1" x14ac:dyDescent="0.25"/>
    <row r="342" ht="10.5" customHeight="1" x14ac:dyDescent="0.25"/>
    <row r="343" ht="10.5" customHeight="1" x14ac:dyDescent="0.25"/>
    <row r="344" ht="10.5" customHeight="1" x14ac:dyDescent="0.25"/>
    <row r="345" ht="10.5" customHeight="1" x14ac:dyDescent="0.25"/>
    <row r="346" ht="10.5" customHeight="1" x14ac:dyDescent="0.25"/>
    <row r="347" ht="10.5" customHeight="1" x14ac:dyDescent="0.25"/>
    <row r="348" ht="10.5" customHeight="1" x14ac:dyDescent="0.25"/>
    <row r="349" ht="10.5" customHeight="1" x14ac:dyDescent="0.25"/>
    <row r="350" ht="10.5" customHeight="1" x14ac:dyDescent="0.25"/>
    <row r="351" ht="10.5" customHeight="1" x14ac:dyDescent="0.25"/>
    <row r="352" ht="10.5" customHeight="1" x14ac:dyDescent="0.25"/>
    <row r="353" ht="10.5" customHeight="1" x14ac:dyDescent="0.25"/>
    <row r="354" ht="10.5" customHeight="1" x14ac:dyDescent="0.25"/>
    <row r="355" ht="10.5" customHeight="1" x14ac:dyDescent="0.25"/>
    <row r="356" ht="10.5" customHeight="1" x14ac:dyDescent="0.25"/>
    <row r="357" ht="10.5" customHeight="1" x14ac:dyDescent="0.25"/>
    <row r="358" ht="10.5" customHeight="1" x14ac:dyDescent="0.25"/>
    <row r="359" ht="10.5" customHeight="1" x14ac:dyDescent="0.25"/>
    <row r="360" ht="10.5" customHeight="1" x14ac:dyDescent="0.25"/>
    <row r="361" ht="10.5" customHeight="1" x14ac:dyDescent="0.25"/>
    <row r="362" ht="10.5" customHeight="1" x14ac:dyDescent="0.25"/>
    <row r="363" ht="10.5" customHeight="1" x14ac:dyDescent="0.25"/>
    <row r="364" ht="10.5" customHeight="1" x14ac:dyDescent="0.25"/>
    <row r="365" ht="10.5" customHeight="1" x14ac:dyDescent="0.25"/>
    <row r="366" ht="10.5" customHeight="1" x14ac:dyDescent="0.25"/>
    <row r="367" ht="10.5" customHeight="1" x14ac:dyDescent="0.25"/>
    <row r="368" ht="10.5" customHeight="1" x14ac:dyDescent="0.25"/>
    <row r="369" ht="10.5" customHeight="1" x14ac:dyDescent="0.25"/>
    <row r="370" ht="10.5" customHeight="1" x14ac:dyDescent="0.25"/>
    <row r="371" ht="10.5" customHeight="1" x14ac:dyDescent="0.25"/>
    <row r="372" ht="10.5" customHeight="1" x14ac:dyDescent="0.25"/>
    <row r="373" ht="10.5" customHeight="1" x14ac:dyDescent="0.25"/>
    <row r="374" ht="10.5" customHeight="1" x14ac:dyDescent="0.25"/>
    <row r="375" ht="10.5" customHeight="1" x14ac:dyDescent="0.25"/>
    <row r="376" ht="10.5" customHeight="1" x14ac:dyDescent="0.25"/>
    <row r="377" ht="10.5" customHeight="1" x14ac:dyDescent="0.25"/>
    <row r="378" ht="10.5" customHeight="1" x14ac:dyDescent="0.25"/>
    <row r="379" ht="10.5" customHeight="1" x14ac:dyDescent="0.25"/>
    <row r="380" ht="10.5" customHeight="1" x14ac:dyDescent="0.25"/>
    <row r="381" ht="10.5" customHeight="1" x14ac:dyDescent="0.25"/>
    <row r="382" ht="10.5" customHeight="1" x14ac:dyDescent="0.25"/>
    <row r="383" ht="10.5" customHeight="1" x14ac:dyDescent="0.25"/>
    <row r="384" ht="10.5" customHeight="1" x14ac:dyDescent="0.25"/>
    <row r="385" ht="10.5" customHeight="1" x14ac:dyDescent="0.25"/>
    <row r="386" ht="10.5" customHeight="1" x14ac:dyDescent="0.25"/>
    <row r="387" ht="10.5" customHeight="1" x14ac:dyDescent="0.25"/>
    <row r="388" ht="10.5" customHeight="1" x14ac:dyDescent="0.25"/>
    <row r="389" ht="10.5" customHeight="1" x14ac:dyDescent="0.25"/>
    <row r="390" ht="10.5" customHeight="1" x14ac:dyDescent="0.25"/>
    <row r="391" ht="10.5" customHeight="1" x14ac:dyDescent="0.25"/>
    <row r="392" ht="10.5" customHeight="1" x14ac:dyDescent="0.25"/>
    <row r="393" ht="10.5" customHeight="1" x14ac:dyDescent="0.25"/>
    <row r="394" ht="10.5" customHeight="1" x14ac:dyDescent="0.25"/>
    <row r="395" ht="10.5" customHeight="1" x14ac:dyDescent="0.25"/>
    <row r="396" ht="10.5" customHeight="1" x14ac:dyDescent="0.25"/>
    <row r="397" ht="10.5" customHeight="1" x14ac:dyDescent="0.25"/>
    <row r="398" ht="10.5" customHeight="1" x14ac:dyDescent="0.25"/>
    <row r="399" ht="10.5" customHeight="1" x14ac:dyDescent="0.25"/>
    <row r="400" ht="10.5" customHeight="1" x14ac:dyDescent="0.25"/>
    <row r="401" ht="10.5" customHeight="1" x14ac:dyDescent="0.25"/>
    <row r="402" ht="10.5" customHeight="1" x14ac:dyDescent="0.25"/>
    <row r="403" ht="10.5" customHeight="1" x14ac:dyDescent="0.25"/>
    <row r="404" ht="10.5" customHeight="1" x14ac:dyDescent="0.25"/>
    <row r="405" ht="10.5" customHeight="1" x14ac:dyDescent="0.25"/>
    <row r="406" ht="10.5" customHeight="1" x14ac:dyDescent="0.25"/>
    <row r="407" ht="10.5" customHeight="1" x14ac:dyDescent="0.25"/>
    <row r="408" ht="10.5" customHeight="1" x14ac:dyDescent="0.25"/>
    <row r="409" ht="10.5" customHeight="1" x14ac:dyDescent="0.25"/>
    <row r="410" ht="10.5" customHeight="1" x14ac:dyDescent="0.25"/>
    <row r="411" ht="10.5" customHeight="1" x14ac:dyDescent="0.25"/>
    <row r="412" ht="10.5" customHeight="1" x14ac:dyDescent="0.25"/>
    <row r="413" ht="10.5" customHeight="1" x14ac:dyDescent="0.25"/>
    <row r="414" ht="10.5" customHeight="1" x14ac:dyDescent="0.25"/>
    <row r="415" ht="10.5" customHeight="1" x14ac:dyDescent="0.25"/>
    <row r="416" ht="10.5" customHeight="1" x14ac:dyDescent="0.25"/>
    <row r="417" ht="10.5" customHeight="1" x14ac:dyDescent="0.25"/>
    <row r="418" ht="10.5" customHeight="1" x14ac:dyDescent="0.25"/>
    <row r="419" ht="10.5" customHeight="1" x14ac:dyDescent="0.25"/>
    <row r="420" ht="10.5" customHeight="1" x14ac:dyDescent="0.25"/>
    <row r="421" ht="10.5" customHeight="1" x14ac:dyDescent="0.25"/>
    <row r="422" ht="10.5" customHeight="1" x14ac:dyDescent="0.25"/>
    <row r="423" ht="10.5" customHeight="1" x14ac:dyDescent="0.25"/>
    <row r="424" ht="10.5" customHeight="1" x14ac:dyDescent="0.25"/>
    <row r="425" ht="10.5" customHeight="1" x14ac:dyDescent="0.25"/>
    <row r="426" ht="10.5" customHeight="1" x14ac:dyDescent="0.25"/>
    <row r="427" ht="10.5" customHeight="1" x14ac:dyDescent="0.25"/>
    <row r="428" ht="10.5" customHeight="1" x14ac:dyDescent="0.25"/>
    <row r="429" ht="10.5" customHeight="1" x14ac:dyDescent="0.25"/>
    <row r="430" ht="10.5" customHeight="1" x14ac:dyDescent="0.25"/>
    <row r="431" ht="10.5" customHeight="1" x14ac:dyDescent="0.25"/>
    <row r="432" ht="10.5" customHeight="1" x14ac:dyDescent="0.25"/>
    <row r="433" ht="10.5" customHeight="1" x14ac:dyDescent="0.25"/>
    <row r="434" ht="10.5" customHeight="1" x14ac:dyDescent="0.25"/>
    <row r="435" ht="10.5" customHeight="1" x14ac:dyDescent="0.25"/>
    <row r="436" ht="10.5" customHeight="1" x14ac:dyDescent="0.25"/>
    <row r="437" ht="10.5" customHeight="1" x14ac:dyDescent="0.25"/>
    <row r="438" ht="10.5" customHeight="1" x14ac:dyDescent="0.25"/>
    <row r="439" ht="10.5" customHeight="1" x14ac:dyDescent="0.25"/>
    <row r="440" ht="10.5" customHeight="1" x14ac:dyDescent="0.25"/>
    <row r="441" ht="10.5" customHeight="1" x14ac:dyDescent="0.25"/>
    <row r="442" ht="10.5" customHeight="1" x14ac:dyDescent="0.25"/>
    <row r="443" ht="10.5" customHeight="1" x14ac:dyDescent="0.25"/>
    <row r="444" ht="10.5" customHeight="1" x14ac:dyDescent="0.25"/>
    <row r="445" ht="10.5" customHeight="1" x14ac:dyDescent="0.25"/>
    <row r="446" ht="10.5" customHeight="1" x14ac:dyDescent="0.25"/>
    <row r="447" ht="10.5" customHeight="1" x14ac:dyDescent="0.25"/>
    <row r="448" ht="10.5" customHeight="1" x14ac:dyDescent="0.25"/>
    <row r="449" ht="10.5" customHeight="1" x14ac:dyDescent="0.25"/>
    <row r="450" ht="10.5" customHeight="1" x14ac:dyDescent="0.25"/>
    <row r="451" ht="10.5" customHeight="1" x14ac:dyDescent="0.25"/>
    <row r="452" ht="10.5" customHeight="1" x14ac:dyDescent="0.25"/>
    <row r="453" ht="10.5" customHeight="1" x14ac:dyDescent="0.25"/>
    <row r="454" ht="10.5" customHeight="1" x14ac:dyDescent="0.25"/>
    <row r="455" ht="10.5" customHeight="1" x14ac:dyDescent="0.25"/>
    <row r="456" ht="10.5" customHeight="1" x14ac:dyDescent="0.25"/>
    <row r="457" ht="10.5" customHeight="1" x14ac:dyDescent="0.25"/>
    <row r="458" ht="10.5" customHeight="1" x14ac:dyDescent="0.25"/>
    <row r="459" ht="10.5" customHeight="1" x14ac:dyDescent="0.25"/>
    <row r="460" ht="10.5" customHeight="1" x14ac:dyDescent="0.25"/>
    <row r="461" ht="10.5" customHeight="1" x14ac:dyDescent="0.25"/>
    <row r="462" ht="10.5" customHeight="1" x14ac:dyDescent="0.25"/>
    <row r="463" ht="10.5" customHeight="1" x14ac:dyDescent="0.25"/>
    <row r="464" ht="10.5" customHeight="1" x14ac:dyDescent="0.25"/>
    <row r="465" ht="10.5" customHeight="1" x14ac:dyDescent="0.25"/>
    <row r="466" ht="10.5" customHeight="1" x14ac:dyDescent="0.25"/>
    <row r="467" ht="10.5" customHeight="1" x14ac:dyDescent="0.25"/>
    <row r="468" ht="10.5" customHeight="1" x14ac:dyDescent="0.25"/>
    <row r="469" ht="10.5" customHeight="1" x14ac:dyDescent="0.25"/>
    <row r="470" ht="10.5" customHeight="1" x14ac:dyDescent="0.25"/>
    <row r="471" ht="10.5" customHeight="1" x14ac:dyDescent="0.25"/>
    <row r="472" ht="10.5" customHeight="1" x14ac:dyDescent="0.25"/>
    <row r="473" ht="10.5" customHeight="1" x14ac:dyDescent="0.25"/>
    <row r="474" ht="10.5" customHeight="1" x14ac:dyDescent="0.25"/>
    <row r="475" ht="10.5" customHeight="1" x14ac:dyDescent="0.25"/>
    <row r="476" ht="10.5" customHeight="1" x14ac:dyDescent="0.25"/>
    <row r="477" ht="10.5" customHeight="1" x14ac:dyDescent="0.25"/>
    <row r="478" ht="10.5" customHeight="1" x14ac:dyDescent="0.25"/>
    <row r="479" ht="10.5" customHeight="1" x14ac:dyDescent="0.25"/>
    <row r="480" ht="10.5" customHeight="1" x14ac:dyDescent="0.25"/>
    <row r="481" ht="10.5" customHeight="1" x14ac:dyDescent="0.25"/>
    <row r="482" ht="10.5" customHeight="1" x14ac:dyDescent="0.25"/>
    <row r="483" ht="10.5" customHeight="1" x14ac:dyDescent="0.25"/>
    <row r="484" ht="10.5" customHeight="1" x14ac:dyDescent="0.25"/>
    <row r="485" ht="10.5" customHeight="1" x14ac:dyDescent="0.25"/>
    <row r="486" ht="10.5" customHeight="1" x14ac:dyDescent="0.25"/>
    <row r="487" ht="10.5" customHeight="1" x14ac:dyDescent="0.25"/>
    <row r="488" ht="10.5" customHeight="1" x14ac:dyDescent="0.25"/>
    <row r="489" ht="10.5" customHeight="1" x14ac:dyDescent="0.25"/>
    <row r="490" ht="10.5" customHeight="1" x14ac:dyDescent="0.25"/>
    <row r="491" ht="10.5" customHeight="1" x14ac:dyDescent="0.25"/>
    <row r="492" ht="10.5" customHeight="1" x14ac:dyDescent="0.25"/>
    <row r="493" ht="10.5" customHeight="1" x14ac:dyDescent="0.25"/>
    <row r="494" ht="10.5" customHeight="1" x14ac:dyDescent="0.25"/>
    <row r="495" ht="10.5" customHeight="1" x14ac:dyDescent="0.25"/>
    <row r="496" ht="10.5" customHeight="1" x14ac:dyDescent="0.25"/>
    <row r="497" ht="10.5" customHeight="1" x14ac:dyDescent="0.25"/>
    <row r="498" ht="10.5" customHeight="1" x14ac:dyDescent="0.25"/>
    <row r="499" ht="10.5" customHeight="1" x14ac:dyDescent="0.25"/>
    <row r="500" ht="10.5" customHeight="1" x14ac:dyDescent="0.25"/>
    <row r="501" ht="10.5" customHeight="1" x14ac:dyDescent="0.25"/>
    <row r="502" ht="10.5" customHeight="1" x14ac:dyDescent="0.25"/>
    <row r="503" ht="10.5" customHeight="1" x14ac:dyDescent="0.25"/>
    <row r="504" ht="10.5" customHeight="1" x14ac:dyDescent="0.25"/>
    <row r="505" ht="10.5" customHeight="1" x14ac:dyDescent="0.25"/>
    <row r="506" ht="10.5" customHeight="1" x14ac:dyDescent="0.25"/>
    <row r="507" ht="10.5" customHeight="1" x14ac:dyDescent="0.25"/>
    <row r="508" ht="10.5" customHeight="1" x14ac:dyDescent="0.25"/>
    <row r="509" ht="10.5" customHeight="1" x14ac:dyDescent="0.25"/>
    <row r="510" ht="10.5" customHeight="1" x14ac:dyDescent="0.25"/>
    <row r="511" ht="10.5" customHeight="1" x14ac:dyDescent="0.25"/>
    <row r="512" ht="10.5" customHeight="1" x14ac:dyDescent="0.25"/>
    <row r="513" ht="10.5" customHeight="1" x14ac:dyDescent="0.25"/>
    <row r="514" ht="10.5" customHeight="1" x14ac:dyDescent="0.25"/>
    <row r="515" ht="10.5" customHeight="1" x14ac:dyDescent="0.25"/>
    <row r="516" ht="10.5" customHeight="1" x14ac:dyDescent="0.25"/>
    <row r="517" ht="10.5" customHeight="1" x14ac:dyDescent="0.25"/>
    <row r="518" ht="10.5" customHeight="1" x14ac:dyDescent="0.25"/>
    <row r="519" ht="10.5" customHeight="1" x14ac:dyDescent="0.25"/>
    <row r="520" ht="10.5" customHeight="1" x14ac:dyDescent="0.25"/>
    <row r="521" ht="10.5" customHeight="1" x14ac:dyDescent="0.25"/>
    <row r="522" ht="10.5" customHeight="1" x14ac:dyDescent="0.25"/>
    <row r="523" ht="10.5" customHeight="1" x14ac:dyDescent="0.25"/>
    <row r="524" ht="10.5" customHeight="1" x14ac:dyDescent="0.25"/>
    <row r="525" ht="10.5" customHeight="1" x14ac:dyDescent="0.25"/>
    <row r="526" ht="10.5" customHeight="1" x14ac:dyDescent="0.25"/>
    <row r="527" ht="10.5" customHeight="1" x14ac:dyDescent="0.25"/>
    <row r="528" ht="10.5" customHeight="1" x14ac:dyDescent="0.25"/>
    <row r="529" ht="10.5" customHeight="1" x14ac:dyDescent="0.25"/>
    <row r="530" ht="10.5" customHeight="1" x14ac:dyDescent="0.25"/>
    <row r="531" ht="10.5" customHeight="1" x14ac:dyDescent="0.25"/>
    <row r="532" ht="10.5" customHeight="1" x14ac:dyDescent="0.25"/>
    <row r="533" ht="10.5" customHeight="1" x14ac:dyDescent="0.25"/>
    <row r="534" ht="10.5" customHeight="1" x14ac:dyDescent="0.25"/>
    <row r="535" ht="10.5" customHeight="1" x14ac:dyDescent="0.25"/>
    <row r="536" ht="10.5" customHeight="1" x14ac:dyDescent="0.25"/>
    <row r="537" ht="10.5" customHeight="1" x14ac:dyDescent="0.25"/>
    <row r="538" ht="10.5" customHeight="1" x14ac:dyDescent="0.25"/>
    <row r="539" ht="10.5" customHeight="1" x14ac:dyDescent="0.25"/>
    <row r="540" ht="10.5" customHeight="1" x14ac:dyDescent="0.25"/>
    <row r="541" ht="10.5" customHeight="1" x14ac:dyDescent="0.25"/>
    <row r="542" ht="10.5" customHeight="1" x14ac:dyDescent="0.25"/>
    <row r="543" ht="10.5" customHeight="1" x14ac:dyDescent="0.25"/>
    <row r="544" ht="10.5" customHeight="1" x14ac:dyDescent="0.25"/>
    <row r="545" ht="10.5" customHeight="1" x14ac:dyDescent="0.25"/>
    <row r="546" ht="10.5" customHeight="1" x14ac:dyDescent="0.25"/>
    <row r="547" ht="10.5" customHeight="1" x14ac:dyDescent="0.25"/>
    <row r="548" ht="10.5" customHeight="1" x14ac:dyDescent="0.25"/>
    <row r="549" ht="10.5" customHeight="1" x14ac:dyDescent="0.25"/>
    <row r="550" ht="10.5" customHeight="1" x14ac:dyDescent="0.25"/>
    <row r="551" ht="10.5" customHeight="1" x14ac:dyDescent="0.25"/>
    <row r="552" ht="10.5" customHeight="1" x14ac:dyDescent="0.25"/>
    <row r="553" ht="10.5" customHeight="1" x14ac:dyDescent="0.25"/>
    <row r="554" ht="10.5" customHeight="1" x14ac:dyDescent="0.25"/>
    <row r="555" ht="10.5" customHeight="1" x14ac:dyDescent="0.25"/>
    <row r="556" ht="10.5" customHeight="1" x14ac:dyDescent="0.25"/>
    <row r="557" ht="10.5" customHeight="1" x14ac:dyDescent="0.25"/>
    <row r="558" ht="10.5" customHeight="1" x14ac:dyDescent="0.25"/>
    <row r="559" ht="10.5" customHeight="1" x14ac:dyDescent="0.25"/>
    <row r="560" ht="10.5" customHeight="1" x14ac:dyDescent="0.25"/>
    <row r="561" ht="10.5" customHeight="1" x14ac:dyDescent="0.25"/>
    <row r="562" ht="10.5" customHeight="1" x14ac:dyDescent="0.25"/>
    <row r="563" ht="10.5" customHeight="1" x14ac:dyDescent="0.25"/>
    <row r="564" ht="10.5" customHeight="1" x14ac:dyDescent="0.25"/>
    <row r="565" ht="10.5" customHeight="1" x14ac:dyDescent="0.25"/>
    <row r="566" ht="10.5" customHeight="1" x14ac:dyDescent="0.25"/>
    <row r="567" ht="10.5" customHeight="1" x14ac:dyDescent="0.25"/>
    <row r="568" ht="10.5" customHeight="1" x14ac:dyDescent="0.25"/>
    <row r="569" ht="10.5" customHeight="1" x14ac:dyDescent="0.25"/>
    <row r="570" ht="10.5" customHeight="1" x14ac:dyDescent="0.25"/>
    <row r="571" ht="10.5" customHeight="1" x14ac:dyDescent="0.25"/>
    <row r="572" ht="10.5" customHeight="1" x14ac:dyDescent="0.25"/>
    <row r="573" ht="10.5" customHeight="1" x14ac:dyDescent="0.25"/>
    <row r="574" ht="10.5" customHeight="1" x14ac:dyDescent="0.25"/>
    <row r="575" ht="10.5" customHeight="1" x14ac:dyDescent="0.25"/>
    <row r="576" ht="10.5" customHeight="1" x14ac:dyDescent="0.25"/>
    <row r="577" ht="10.5" customHeight="1" x14ac:dyDescent="0.25"/>
    <row r="578" ht="10.5" customHeight="1" x14ac:dyDescent="0.25"/>
    <row r="579" ht="10.5" customHeight="1" x14ac:dyDescent="0.25"/>
    <row r="580" ht="10.5" customHeight="1" x14ac:dyDescent="0.25"/>
    <row r="581" ht="10.5" customHeight="1" x14ac:dyDescent="0.25"/>
    <row r="582" ht="10.5" customHeight="1" x14ac:dyDescent="0.25"/>
    <row r="583" ht="10.5" customHeight="1" x14ac:dyDescent="0.25"/>
    <row r="584" ht="10.5" customHeight="1" x14ac:dyDescent="0.25"/>
    <row r="585" ht="10.5" customHeight="1" x14ac:dyDescent="0.25"/>
    <row r="586" ht="10.5" customHeight="1" x14ac:dyDescent="0.25"/>
    <row r="587" ht="10.5" customHeight="1" x14ac:dyDescent="0.25"/>
    <row r="588" ht="10.5" customHeight="1" x14ac:dyDescent="0.25"/>
    <row r="589" ht="10.5" customHeight="1" x14ac:dyDescent="0.25"/>
    <row r="590" ht="10.5" customHeight="1" x14ac:dyDescent="0.25"/>
    <row r="591" ht="10.5" customHeight="1" x14ac:dyDescent="0.25"/>
    <row r="592" ht="10.5" customHeight="1" x14ac:dyDescent="0.25"/>
    <row r="593" ht="10.5" customHeight="1" x14ac:dyDescent="0.25"/>
    <row r="594" ht="10.5" customHeight="1" x14ac:dyDescent="0.25"/>
    <row r="595" ht="10.5" customHeight="1" x14ac:dyDescent="0.25"/>
    <row r="596" ht="10.5" customHeight="1" x14ac:dyDescent="0.25"/>
    <row r="597" ht="10.5" customHeight="1" x14ac:dyDescent="0.25"/>
    <row r="598" ht="10.5" customHeight="1" x14ac:dyDescent="0.25"/>
    <row r="599" ht="10.5" customHeight="1" x14ac:dyDescent="0.25"/>
    <row r="600" ht="10.5" customHeight="1" x14ac:dyDescent="0.25"/>
    <row r="601" ht="10.5" customHeight="1" x14ac:dyDescent="0.25"/>
    <row r="602" ht="10.5" customHeight="1" x14ac:dyDescent="0.25"/>
    <row r="603" ht="10.5" customHeight="1" x14ac:dyDescent="0.25"/>
    <row r="604" ht="10.5" customHeight="1" x14ac:dyDescent="0.25"/>
    <row r="605" ht="10.5" customHeight="1" x14ac:dyDescent="0.25"/>
    <row r="606" ht="10.5" customHeight="1" x14ac:dyDescent="0.25"/>
    <row r="607" ht="10.5" customHeight="1" x14ac:dyDescent="0.25"/>
    <row r="608" ht="10.5" customHeight="1" x14ac:dyDescent="0.25"/>
    <row r="609" ht="10.5" customHeight="1" x14ac:dyDescent="0.25"/>
    <row r="610" ht="10.5" customHeight="1" x14ac:dyDescent="0.25"/>
    <row r="611" ht="10.5" customHeight="1" x14ac:dyDescent="0.25"/>
    <row r="612" ht="10.5" customHeight="1" x14ac:dyDescent="0.25"/>
    <row r="613" ht="10.5" customHeight="1" x14ac:dyDescent="0.25"/>
    <row r="614" ht="10.5" customHeight="1" x14ac:dyDescent="0.25"/>
    <row r="615" ht="10.5" customHeight="1" x14ac:dyDescent="0.25"/>
    <row r="616" ht="10.5" customHeight="1" x14ac:dyDescent="0.25"/>
    <row r="617" ht="10.5" customHeight="1" x14ac:dyDescent="0.25"/>
    <row r="618" ht="10.5" customHeight="1" x14ac:dyDescent="0.25"/>
    <row r="619" ht="10.5" customHeight="1" x14ac:dyDescent="0.25"/>
    <row r="620" ht="10.5" customHeight="1" x14ac:dyDescent="0.25"/>
    <row r="621" ht="10.5" customHeight="1" x14ac:dyDescent="0.25"/>
    <row r="622" ht="10.5" customHeight="1" x14ac:dyDescent="0.25"/>
    <row r="623" ht="10.5" customHeight="1" x14ac:dyDescent="0.25"/>
    <row r="624" ht="10.5" customHeight="1" x14ac:dyDescent="0.25"/>
    <row r="625" ht="10.5" customHeight="1" x14ac:dyDescent="0.25"/>
    <row r="626" ht="10.5" customHeight="1" x14ac:dyDescent="0.25"/>
    <row r="627" ht="10.5" customHeight="1" x14ac:dyDescent="0.25"/>
    <row r="628" ht="10.5" customHeight="1" x14ac:dyDescent="0.25"/>
    <row r="629" ht="10.5" customHeight="1" x14ac:dyDescent="0.25"/>
    <row r="630" ht="10.5" customHeight="1" x14ac:dyDescent="0.25"/>
    <row r="631" ht="10.5" customHeight="1" x14ac:dyDescent="0.25"/>
    <row r="632" ht="10.5" customHeight="1" x14ac:dyDescent="0.25"/>
    <row r="633" ht="10.5" customHeight="1" x14ac:dyDescent="0.25"/>
    <row r="634" ht="10.5" customHeight="1" x14ac:dyDescent="0.25"/>
    <row r="635" ht="10.5" customHeight="1" x14ac:dyDescent="0.25"/>
    <row r="636" ht="10.5" customHeight="1" x14ac:dyDescent="0.25"/>
    <row r="637" ht="10.5" customHeight="1" x14ac:dyDescent="0.25"/>
    <row r="638" ht="10.5" customHeight="1" x14ac:dyDescent="0.25"/>
    <row r="639" ht="10.5" customHeight="1" x14ac:dyDescent="0.25"/>
    <row r="640" ht="10.5" customHeight="1" x14ac:dyDescent="0.25"/>
    <row r="641" ht="10.5" customHeight="1" x14ac:dyDescent="0.25"/>
    <row r="642" ht="10.5" customHeight="1" x14ac:dyDescent="0.25"/>
    <row r="643" ht="10.5" customHeight="1" x14ac:dyDescent="0.25"/>
    <row r="644" ht="10.5" customHeight="1" x14ac:dyDescent="0.25"/>
    <row r="645" ht="10.5" customHeight="1" x14ac:dyDescent="0.25"/>
    <row r="646" ht="10.5" customHeight="1" x14ac:dyDescent="0.25"/>
    <row r="647" ht="10.5" customHeight="1" x14ac:dyDescent="0.25"/>
    <row r="648" ht="10.5" customHeight="1" x14ac:dyDescent="0.25"/>
    <row r="649" ht="10.5" customHeight="1" x14ac:dyDescent="0.25"/>
    <row r="650" ht="10.5" customHeight="1" x14ac:dyDescent="0.25"/>
    <row r="651" ht="10.5" customHeight="1" x14ac:dyDescent="0.25"/>
    <row r="652" ht="10.5" customHeight="1" x14ac:dyDescent="0.25"/>
    <row r="653" ht="10.5" customHeight="1" x14ac:dyDescent="0.25"/>
    <row r="654" ht="10.5" customHeight="1" x14ac:dyDescent="0.25"/>
    <row r="655" ht="10.5" customHeight="1" x14ac:dyDescent="0.25"/>
    <row r="656" ht="10.5" customHeight="1" x14ac:dyDescent="0.25"/>
    <row r="657" ht="10.5" customHeight="1" x14ac:dyDescent="0.25"/>
    <row r="658" ht="10.5" customHeight="1" x14ac:dyDescent="0.25"/>
    <row r="659" ht="10.5" customHeight="1" x14ac:dyDescent="0.25"/>
    <row r="660" ht="10.5" customHeight="1" x14ac:dyDescent="0.25"/>
    <row r="661" ht="10.5" customHeight="1" x14ac:dyDescent="0.25"/>
    <row r="662" ht="10.5" customHeight="1" x14ac:dyDescent="0.25"/>
    <row r="663" ht="10.5" customHeight="1" x14ac:dyDescent="0.25"/>
    <row r="664" ht="10.5" customHeight="1" x14ac:dyDescent="0.25"/>
    <row r="665" ht="10.5" customHeight="1" x14ac:dyDescent="0.25"/>
    <row r="666" ht="10.5" customHeight="1" x14ac:dyDescent="0.25"/>
    <row r="667" ht="10.5" customHeight="1" x14ac:dyDescent="0.25"/>
    <row r="668" ht="10.5" customHeight="1" x14ac:dyDescent="0.25"/>
    <row r="669" ht="10.5" customHeight="1" x14ac:dyDescent="0.25"/>
    <row r="670" ht="10.5" customHeight="1" x14ac:dyDescent="0.25"/>
    <row r="671" ht="10.5" customHeight="1" x14ac:dyDescent="0.25"/>
    <row r="672" ht="10.5" customHeight="1" x14ac:dyDescent="0.25"/>
    <row r="673" ht="10.5" customHeight="1" x14ac:dyDescent="0.25"/>
    <row r="674" ht="10.5" customHeight="1" x14ac:dyDescent="0.25"/>
    <row r="675" ht="10.5" customHeight="1" x14ac:dyDescent="0.25"/>
    <row r="676" ht="10.5" customHeight="1" x14ac:dyDescent="0.25"/>
    <row r="677" ht="10.5" customHeight="1" x14ac:dyDescent="0.25"/>
    <row r="678" ht="10.5" customHeight="1" x14ac:dyDescent="0.25"/>
    <row r="679" ht="10.5" customHeight="1" x14ac:dyDescent="0.25"/>
    <row r="680" ht="10.5" customHeight="1" x14ac:dyDescent="0.25"/>
    <row r="681" ht="10.5" customHeight="1" x14ac:dyDescent="0.25"/>
    <row r="682" ht="10.5" customHeight="1" x14ac:dyDescent="0.25"/>
    <row r="683" ht="10.5" customHeight="1" x14ac:dyDescent="0.25"/>
    <row r="684" ht="10.5" customHeight="1" x14ac:dyDescent="0.25"/>
    <row r="685" ht="10.5" customHeight="1" x14ac:dyDescent="0.25"/>
    <row r="686" ht="10.5" customHeight="1" x14ac:dyDescent="0.25"/>
    <row r="687" ht="10.5" customHeight="1" x14ac:dyDescent="0.25"/>
    <row r="688" ht="10.5" customHeight="1" x14ac:dyDescent="0.25"/>
    <row r="689" ht="10.5" customHeight="1" x14ac:dyDescent="0.25"/>
    <row r="690" ht="10.5" customHeight="1" x14ac:dyDescent="0.25"/>
    <row r="691" ht="10.5" customHeight="1" x14ac:dyDescent="0.25"/>
    <row r="692" ht="10.5" customHeight="1" x14ac:dyDescent="0.25"/>
    <row r="693" ht="10.5" customHeight="1" x14ac:dyDescent="0.25"/>
    <row r="694" ht="10.5" customHeight="1" x14ac:dyDescent="0.25"/>
    <row r="695" ht="10.5" customHeight="1" x14ac:dyDescent="0.25"/>
    <row r="696" ht="10.5" customHeight="1" x14ac:dyDescent="0.25"/>
    <row r="697" ht="10.5" customHeight="1" x14ac:dyDescent="0.25"/>
    <row r="698" ht="10.5" customHeight="1" x14ac:dyDescent="0.25"/>
    <row r="699" ht="10.5" customHeight="1" x14ac:dyDescent="0.25"/>
    <row r="700" ht="10.5" customHeight="1" x14ac:dyDescent="0.25"/>
    <row r="701" ht="10.5" customHeight="1" x14ac:dyDescent="0.25"/>
    <row r="702" ht="10.5" customHeight="1" x14ac:dyDescent="0.25"/>
    <row r="703" ht="10.5" customHeight="1" x14ac:dyDescent="0.25"/>
    <row r="704" ht="10.5" customHeight="1" x14ac:dyDescent="0.25"/>
    <row r="705" ht="10.5" customHeight="1" x14ac:dyDescent="0.25"/>
    <row r="706" ht="10.5" customHeight="1" x14ac:dyDescent="0.25"/>
    <row r="707" ht="10.5" customHeight="1" x14ac:dyDescent="0.25"/>
    <row r="708" ht="10.5" customHeight="1" x14ac:dyDescent="0.25"/>
    <row r="709" ht="10.5" customHeight="1" x14ac:dyDescent="0.25"/>
    <row r="710" ht="10.5" customHeight="1" x14ac:dyDescent="0.25"/>
    <row r="711" ht="10.5" customHeight="1" x14ac:dyDescent="0.25"/>
    <row r="712" ht="10.5" customHeight="1" x14ac:dyDescent="0.25"/>
    <row r="713" ht="10.5" customHeight="1" x14ac:dyDescent="0.25"/>
    <row r="714" ht="10.5" customHeight="1" x14ac:dyDescent="0.25"/>
    <row r="715" ht="10.5" customHeight="1" x14ac:dyDescent="0.25"/>
    <row r="716" ht="10.5" customHeight="1" x14ac:dyDescent="0.25"/>
    <row r="717" ht="10.5" customHeight="1" x14ac:dyDescent="0.25"/>
    <row r="718" ht="10.5" customHeight="1" x14ac:dyDescent="0.25"/>
    <row r="719" ht="10.5" customHeight="1" x14ac:dyDescent="0.25"/>
    <row r="720" ht="10.5" customHeight="1" x14ac:dyDescent="0.25"/>
    <row r="721" ht="10.5" customHeight="1" x14ac:dyDescent="0.25"/>
    <row r="722" ht="10.5" customHeight="1" x14ac:dyDescent="0.25"/>
    <row r="723" ht="10.5" customHeight="1" x14ac:dyDescent="0.25"/>
    <row r="724" ht="10.5" customHeight="1" x14ac:dyDescent="0.25"/>
    <row r="725" ht="10.5" customHeight="1" x14ac:dyDescent="0.25"/>
    <row r="726" ht="10.5" customHeight="1" x14ac:dyDescent="0.25"/>
    <row r="727" ht="10.5" customHeight="1" x14ac:dyDescent="0.25"/>
    <row r="728" ht="10.5" customHeight="1" x14ac:dyDescent="0.25"/>
    <row r="729" ht="10.5" customHeight="1" x14ac:dyDescent="0.25"/>
    <row r="730" ht="10.5" customHeight="1" x14ac:dyDescent="0.25"/>
    <row r="731" ht="10.5" customHeight="1" x14ac:dyDescent="0.25"/>
    <row r="732" ht="10.5" customHeight="1" x14ac:dyDescent="0.25"/>
    <row r="733" ht="10.5" customHeight="1" x14ac:dyDescent="0.25"/>
    <row r="734" ht="10.5" customHeight="1" x14ac:dyDescent="0.25"/>
    <row r="735" ht="10.5" customHeight="1" x14ac:dyDescent="0.25"/>
    <row r="736" ht="10.5" customHeight="1" x14ac:dyDescent="0.25"/>
    <row r="737" ht="10.5" customHeight="1" x14ac:dyDescent="0.25"/>
    <row r="738" ht="10.5" customHeight="1" x14ac:dyDescent="0.25"/>
    <row r="739" ht="10.5" customHeight="1" x14ac:dyDescent="0.25"/>
    <row r="740" ht="10.5" customHeight="1" x14ac:dyDescent="0.25"/>
    <row r="741" ht="10.5" customHeight="1" x14ac:dyDescent="0.25"/>
    <row r="742" ht="10.5" customHeight="1" x14ac:dyDescent="0.25"/>
    <row r="743" ht="10.5" customHeight="1" x14ac:dyDescent="0.25"/>
    <row r="744" ht="10.5" customHeight="1" x14ac:dyDescent="0.25"/>
    <row r="745" ht="10.5" customHeight="1" x14ac:dyDescent="0.25"/>
    <row r="746" ht="10.5" customHeight="1" x14ac:dyDescent="0.25"/>
    <row r="747" ht="10.5" customHeight="1" x14ac:dyDescent="0.25"/>
    <row r="748" ht="10.5" customHeight="1" x14ac:dyDescent="0.25"/>
    <row r="749" ht="10.5" customHeight="1" x14ac:dyDescent="0.25"/>
    <row r="750" ht="10.5" customHeight="1" x14ac:dyDescent="0.25"/>
    <row r="751" ht="10.5" customHeight="1" x14ac:dyDescent="0.25"/>
    <row r="752" ht="10.5" customHeight="1" x14ac:dyDescent="0.25"/>
    <row r="753" ht="10.5" customHeight="1" x14ac:dyDescent="0.25"/>
    <row r="754" ht="10.5" customHeight="1" x14ac:dyDescent="0.25"/>
    <row r="755" ht="10.5" customHeight="1" x14ac:dyDescent="0.25"/>
    <row r="756" ht="10.5" customHeight="1" x14ac:dyDescent="0.25"/>
    <row r="757" ht="10.5" customHeight="1" x14ac:dyDescent="0.25"/>
    <row r="758" ht="10.5" customHeight="1" x14ac:dyDescent="0.25"/>
    <row r="759" ht="10.5" customHeight="1" x14ac:dyDescent="0.25"/>
    <row r="760" ht="10.5" customHeight="1" x14ac:dyDescent="0.25"/>
    <row r="761" ht="10.5" customHeight="1" x14ac:dyDescent="0.25"/>
    <row r="762" ht="10.5" customHeight="1" x14ac:dyDescent="0.25"/>
    <row r="763" ht="10.5" customHeight="1" x14ac:dyDescent="0.25"/>
    <row r="764" ht="10.5" customHeight="1" x14ac:dyDescent="0.25"/>
    <row r="765" ht="10.5" customHeight="1" x14ac:dyDescent="0.25"/>
    <row r="766" ht="10.5" customHeight="1" x14ac:dyDescent="0.25"/>
    <row r="767" ht="10.5" customHeight="1" x14ac:dyDescent="0.25"/>
    <row r="768" ht="10.5" customHeight="1" x14ac:dyDescent="0.25"/>
    <row r="769" ht="10.5" customHeight="1" x14ac:dyDescent="0.25"/>
    <row r="770" ht="10.5" customHeight="1" x14ac:dyDescent="0.25"/>
    <row r="771" ht="10.5" customHeight="1" x14ac:dyDescent="0.25"/>
    <row r="772" ht="10.5" customHeight="1" x14ac:dyDescent="0.25"/>
    <row r="773" ht="10.5" customHeight="1" x14ac:dyDescent="0.25"/>
    <row r="774" ht="10.5" customHeight="1" x14ac:dyDescent="0.25"/>
    <row r="775" ht="10.5" customHeight="1" x14ac:dyDescent="0.25"/>
    <row r="776" ht="10.5" customHeight="1" x14ac:dyDescent="0.25"/>
    <row r="777" ht="10.5" customHeight="1" x14ac:dyDescent="0.25"/>
    <row r="778" ht="10.5" customHeight="1" x14ac:dyDescent="0.25"/>
    <row r="779" ht="10.5" customHeight="1" x14ac:dyDescent="0.25"/>
    <row r="780" ht="10.5" customHeight="1" x14ac:dyDescent="0.25"/>
    <row r="781" ht="10.5" customHeight="1" x14ac:dyDescent="0.25"/>
    <row r="782" ht="10.5" customHeight="1" x14ac:dyDescent="0.25"/>
    <row r="783" ht="10.5" customHeight="1" x14ac:dyDescent="0.25"/>
    <row r="784" ht="10.5" customHeight="1" x14ac:dyDescent="0.25"/>
    <row r="785" ht="10.5" customHeight="1" x14ac:dyDescent="0.25"/>
    <row r="786" ht="10.5" customHeight="1" x14ac:dyDescent="0.25"/>
    <row r="787" ht="10.5" customHeight="1" x14ac:dyDescent="0.25"/>
    <row r="788" ht="10.5" customHeight="1" x14ac:dyDescent="0.25"/>
    <row r="789" ht="10.5" customHeight="1" x14ac:dyDescent="0.25"/>
    <row r="790" ht="10.5" customHeight="1" x14ac:dyDescent="0.25"/>
    <row r="791" ht="10.5" customHeight="1" x14ac:dyDescent="0.25"/>
    <row r="792" ht="10.5" customHeight="1" x14ac:dyDescent="0.25"/>
    <row r="793" ht="10.5" customHeight="1" x14ac:dyDescent="0.25"/>
    <row r="794" ht="10.5" customHeight="1" x14ac:dyDescent="0.25"/>
    <row r="795" ht="10.5" customHeight="1" x14ac:dyDescent="0.25"/>
    <row r="796" ht="10.5" customHeight="1" x14ac:dyDescent="0.25"/>
    <row r="797" ht="10.5" customHeight="1" x14ac:dyDescent="0.25"/>
    <row r="798" ht="10.5" customHeight="1" x14ac:dyDescent="0.25"/>
    <row r="799" ht="10.5" customHeight="1" x14ac:dyDescent="0.25"/>
    <row r="800" ht="10.5" customHeight="1" x14ac:dyDescent="0.25"/>
    <row r="801" ht="10.5" customHeight="1" x14ac:dyDescent="0.25"/>
    <row r="802" ht="10.5" customHeight="1" x14ac:dyDescent="0.25"/>
    <row r="803" ht="10.5" customHeight="1" x14ac:dyDescent="0.25"/>
    <row r="804" ht="10.5" customHeight="1" x14ac:dyDescent="0.25"/>
    <row r="805" ht="10.5" customHeight="1" x14ac:dyDescent="0.25"/>
    <row r="806" ht="10.5" customHeight="1" x14ac:dyDescent="0.25"/>
    <row r="807" ht="10.5" customHeight="1" x14ac:dyDescent="0.25"/>
    <row r="808" ht="10.5" customHeight="1" x14ac:dyDescent="0.25"/>
    <row r="809" ht="10.5" customHeight="1" x14ac:dyDescent="0.25"/>
    <row r="810" ht="10.5" customHeight="1" x14ac:dyDescent="0.25"/>
    <row r="811" ht="10.5" customHeight="1" x14ac:dyDescent="0.25"/>
    <row r="812" ht="10.5" customHeight="1" x14ac:dyDescent="0.25"/>
    <row r="813" ht="10.5" customHeight="1" x14ac:dyDescent="0.25"/>
    <row r="814" ht="10.5" customHeight="1" x14ac:dyDescent="0.25"/>
    <row r="815" ht="10.5" customHeight="1" x14ac:dyDescent="0.25"/>
    <row r="816" ht="10.5" customHeight="1" x14ac:dyDescent="0.25"/>
    <row r="817" ht="10.5" customHeight="1" x14ac:dyDescent="0.25"/>
    <row r="818" ht="10.5" customHeight="1" x14ac:dyDescent="0.25"/>
    <row r="819" ht="10.5" customHeight="1" x14ac:dyDescent="0.25"/>
    <row r="820" ht="10.5" customHeight="1" x14ac:dyDescent="0.25"/>
    <row r="821" ht="10.5" customHeight="1" x14ac:dyDescent="0.25"/>
    <row r="822" ht="10.5" customHeight="1" x14ac:dyDescent="0.25"/>
    <row r="823" ht="10.5" customHeight="1" x14ac:dyDescent="0.25"/>
    <row r="824" ht="10.5" customHeight="1" x14ac:dyDescent="0.25"/>
    <row r="825" ht="10.5" customHeight="1" x14ac:dyDescent="0.25"/>
    <row r="826" ht="10.5" customHeight="1" x14ac:dyDescent="0.25"/>
    <row r="827" ht="10.5" customHeight="1" x14ac:dyDescent="0.25"/>
    <row r="828" ht="10.5" customHeight="1" x14ac:dyDescent="0.25"/>
    <row r="829" ht="10.5" customHeight="1" x14ac:dyDescent="0.25"/>
    <row r="830" ht="10.5" customHeight="1" x14ac:dyDescent="0.25"/>
    <row r="831" ht="10.5" customHeight="1" x14ac:dyDescent="0.25"/>
    <row r="832" ht="10.5" customHeight="1" x14ac:dyDescent="0.25"/>
    <row r="833" ht="10.5" customHeight="1" x14ac:dyDescent="0.25"/>
    <row r="834" ht="10.5" customHeight="1" x14ac:dyDescent="0.25"/>
    <row r="835" ht="10.5" customHeight="1" x14ac:dyDescent="0.25"/>
    <row r="836" ht="10.5" customHeight="1" x14ac:dyDescent="0.25"/>
    <row r="837" ht="10.5" customHeight="1" x14ac:dyDescent="0.25"/>
    <row r="838" ht="10.5" customHeight="1" x14ac:dyDescent="0.25"/>
    <row r="839" ht="10.5" customHeight="1" x14ac:dyDescent="0.25"/>
    <row r="840" ht="10.5" customHeight="1" x14ac:dyDescent="0.25"/>
    <row r="841" ht="10.5" customHeight="1" x14ac:dyDescent="0.25"/>
    <row r="842" ht="10.5" customHeight="1" x14ac:dyDescent="0.25"/>
    <row r="843" ht="10.5" customHeight="1" x14ac:dyDescent="0.25"/>
    <row r="844" ht="10.5" customHeight="1" x14ac:dyDescent="0.25"/>
    <row r="845" ht="10.5" customHeight="1" x14ac:dyDescent="0.25"/>
    <row r="846" ht="10.5" customHeight="1" x14ac:dyDescent="0.25"/>
    <row r="847" ht="10.5" customHeight="1" x14ac:dyDescent="0.25"/>
    <row r="848" ht="10.5" customHeight="1" x14ac:dyDescent="0.25"/>
    <row r="849" ht="10.5" customHeight="1" x14ac:dyDescent="0.25"/>
    <row r="850" ht="10.5" customHeight="1" x14ac:dyDescent="0.25"/>
    <row r="851" ht="10.5" customHeight="1" x14ac:dyDescent="0.25"/>
    <row r="852" ht="10.5" customHeight="1" x14ac:dyDescent="0.25"/>
    <row r="853" ht="10.5" customHeight="1" x14ac:dyDescent="0.25"/>
    <row r="854" ht="10.5" customHeight="1" x14ac:dyDescent="0.25"/>
    <row r="855" ht="10.5" customHeight="1" x14ac:dyDescent="0.25"/>
    <row r="856" ht="10.5" customHeight="1" x14ac:dyDescent="0.25"/>
    <row r="857" ht="10.5" customHeight="1" x14ac:dyDescent="0.25"/>
    <row r="858" ht="10.5" customHeight="1" x14ac:dyDescent="0.25"/>
    <row r="859" ht="10.5" customHeight="1" x14ac:dyDescent="0.25"/>
    <row r="860" ht="10.5" customHeight="1" x14ac:dyDescent="0.25"/>
    <row r="861" ht="10.5" customHeight="1" x14ac:dyDescent="0.25"/>
    <row r="862" ht="10.5" customHeight="1" x14ac:dyDescent="0.25"/>
    <row r="863" ht="10.5" customHeight="1" x14ac:dyDescent="0.25"/>
    <row r="864" ht="10.5" customHeight="1" x14ac:dyDescent="0.25"/>
    <row r="865" ht="10.5" customHeight="1" x14ac:dyDescent="0.25"/>
    <row r="866" ht="10.5" customHeight="1" x14ac:dyDescent="0.25"/>
    <row r="867" ht="10.5" customHeight="1" x14ac:dyDescent="0.25"/>
    <row r="868" ht="10.5" customHeight="1" x14ac:dyDescent="0.25"/>
    <row r="869" ht="10.5" customHeight="1" x14ac:dyDescent="0.25"/>
    <row r="870" ht="10.5" customHeight="1" x14ac:dyDescent="0.25"/>
    <row r="871" ht="10.5" customHeight="1" x14ac:dyDescent="0.25"/>
    <row r="872" ht="10.5" customHeight="1" x14ac:dyDescent="0.25"/>
    <row r="873" ht="10.5" customHeight="1" x14ac:dyDescent="0.25"/>
    <row r="874" ht="10.5" customHeight="1" x14ac:dyDescent="0.25"/>
    <row r="875" ht="10.5" customHeight="1" x14ac:dyDescent="0.25"/>
    <row r="876" ht="10.5" customHeight="1" x14ac:dyDescent="0.25"/>
    <row r="877" ht="10.5" customHeight="1" x14ac:dyDescent="0.25"/>
    <row r="878" ht="10.5" customHeight="1" x14ac:dyDescent="0.25"/>
    <row r="879" ht="10.5" customHeight="1" x14ac:dyDescent="0.25"/>
    <row r="880" ht="10.5" customHeight="1" x14ac:dyDescent="0.25"/>
    <row r="881" ht="10.5" customHeight="1" x14ac:dyDescent="0.25"/>
    <row r="882" ht="10.5" customHeight="1" x14ac:dyDescent="0.25"/>
    <row r="883" ht="10.5" customHeight="1" x14ac:dyDescent="0.25"/>
    <row r="884" ht="10.5" customHeight="1" x14ac:dyDescent="0.25"/>
    <row r="885" ht="10.5" customHeight="1" x14ac:dyDescent="0.25"/>
    <row r="886" ht="10.5" customHeight="1" x14ac:dyDescent="0.25"/>
    <row r="887" ht="10.5" customHeight="1" x14ac:dyDescent="0.25"/>
    <row r="888" ht="10.5" customHeight="1" x14ac:dyDescent="0.25"/>
    <row r="889" ht="10.5" customHeight="1" x14ac:dyDescent="0.25"/>
    <row r="890" ht="10.5" customHeight="1" x14ac:dyDescent="0.25"/>
    <row r="891" ht="10.5" customHeight="1" x14ac:dyDescent="0.25"/>
    <row r="892" ht="10.5" customHeight="1" x14ac:dyDescent="0.25"/>
    <row r="893" ht="10.5" customHeight="1" x14ac:dyDescent="0.25"/>
    <row r="894" ht="10.5" customHeight="1" x14ac:dyDescent="0.25"/>
    <row r="895" ht="10.5" customHeight="1" x14ac:dyDescent="0.25"/>
    <row r="896" ht="10.5" customHeight="1" x14ac:dyDescent="0.25"/>
    <row r="897" ht="10.5" customHeight="1" x14ac:dyDescent="0.25"/>
    <row r="898" ht="10.5" customHeight="1" x14ac:dyDescent="0.25"/>
    <row r="899" ht="10.5" customHeight="1" x14ac:dyDescent="0.25"/>
    <row r="900" ht="10.5" customHeight="1" x14ac:dyDescent="0.25"/>
    <row r="901" ht="10.5" customHeight="1" x14ac:dyDescent="0.25"/>
    <row r="902" ht="10.5" customHeight="1" x14ac:dyDescent="0.25"/>
    <row r="903" ht="10.5" customHeight="1" x14ac:dyDescent="0.25"/>
    <row r="904" ht="10.5" customHeight="1" x14ac:dyDescent="0.25"/>
    <row r="905" ht="10.5" customHeight="1" x14ac:dyDescent="0.25"/>
    <row r="906" ht="10.5" customHeight="1" x14ac:dyDescent="0.25"/>
    <row r="907" ht="10.5" customHeight="1" x14ac:dyDescent="0.25"/>
    <row r="908" ht="10.5" customHeight="1" x14ac:dyDescent="0.25"/>
    <row r="909" ht="10.5" customHeight="1" x14ac:dyDescent="0.25"/>
    <row r="910" ht="10.5" customHeight="1" x14ac:dyDescent="0.25"/>
    <row r="911" ht="10.5" customHeight="1" x14ac:dyDescent="0.25"/>
    <row r="912" ht="10.5" customHeight="1" x14ac:dyDescent="0.25"/>
    <row r="913" ht="10.5" customHeight="1" x14ac:dyDescent="0.25"/>
    <row r="914" ht="10.5" customHeight="1" x14ac:dyDescent="0.25"/>
    <row r="915" ht="10.5" customHeight="1" x14ac:dyDescent="0.25"/>
    <row r="916" ht="10.5" customHeight="1" x14ac:dyDescent="0.25"/>
    <row r="917" ht="10.5" customHeight="1" x14ac:dyDescent="0.25"/>
    <row r="918" ht="10.5" customHeight="1" x14ac:dyDescent="0.25"/>
    <row r="919" ht="10.5" customHeight="1" x14ac:dyDescent="0.25"/>
    <row r="920" ht="10.5" customHeight="1" x14ac:dyDescent="0.25"/>
    <row r="921" ht="10.5" customHeight="1" x14ac:dyDescent="0.25"/>
    <row r="922" ht="10.5" customHeight="1" x14ac:dyDescent="0.25"/>
    <row r="923" ht="10.5" customHeight="1" x14ac:dyDescent="0.25"/>
    <row r="924" ht="10.5" customHeight="1" x14ac:dyDescent="0.25"/>
    <row r="925" ht="10.5" customHeight="1" x14ac:dyDescent="0.25"/>
    <row r="926" ht="10.5" customHeight="1" x14ac:dyDescent="0.25"/>
    <row r="927" ht="10.5" customHeight="1" x14ac:dyDescent="0.25"/>
    <row r="928" ht="10.5" customHeight="1" x14ac:dyDescent="0.25"/>
    <row r="929" ht="10.5" customHeight="1" x14ac:dyDescent="0.25"/>
    <row r="930" ht="10.5" customHeight="1" x14ac:dyDescent="0.25"/>
    <row r="931" ht="10.5" customHeight="1" x14ac:dyDescent="0.25"/>
    <row r="932" ht="10.5" customHeight="1" x14ac:dyDescent="0.25"/>
    <row r="933" ht="10.5" customHeight="1" x14ac:dyDescent="0.25"/>
    <row r="934" ht="10.5" customHeight="1" x14ac:dyDescent="0.25"/>
    <row r="935" ht="10.5" customHeight="1" x14ac:dyDescent="0.25"/>
    <row r="936" ht="10.5" customHeight="1" x14ac:dyDescent="0.25"/>
    <row r="937" ht="10.5" customHeight="1" x14ac:dyDescent="0.25"/>
    <row r="938" ht="10.5" customHeight="1" x14ac:dyDescent="0.25"/>
    <row r="939" ht="10.5" customHeight="1" x14ac:dyDescent="0.25"/>
    <row r="940" ht="10.5" customHeight="1" x14ac:dyDescent="0.25"/>
    <row r="941" ht="10.5" customHeight="1" x14ac:dyDescent="0.25"/>
    <row r="942" ht="10.5" customHeight="1" x14ac:dyDescent="0.25"/>
    <row r="943" ht="10.5" customHeight="1" x14ac:dyDescent="0.25"/>
    <row r="944" ht="10.5" customHeight="1" x14ac:dyDescent="0.25"/>
    <row r="945" ht="10.5" customHeight="1" x14ac:dyDescent="0.25"/>
    <row r="946" ht="10.5" customHeight="1" x14ac:dyDescent="0.25"/>
    <row r="947" ht="10.5" customHeight="1" x14ac:dyDescent="0.25"/>
    <row r="948" ht="10.5" customHeight="1" x14ac:dyDescent="0.25"/>
    <row r="949" ht="10.5" customHeight="1" x14ac:dyDescent="0.25"/>
    <row r="950" ht="10.5" customHeight="1" x14ac:dyDescent="0.25"/>
    <row r="951" ht="10.5" customHeight="1" x14ac:dyDescent="0.25"/>
    <row r="952" ht="10.5" customHeight="1" x14ac:dyDescent="0.25"/>
    <row r="953" ht="10.5" customHeight="1" x14ac:dyDescent="0.25"/>
    <row r="954" ht="10.5" customHeight="1" x14ac:dyDescent="0.25"/>
    <row r="955" ht="10.5" customHeight="1" x14ac:dyDescent="0.25"/>
    <row r="956" ht="10.5" customHeight="1" x14ac:dyDescent="0.25"/>
    <row r="957" ht="10.5" customHeight="1" x14ac:dyDescent="0.25"/>
    <row r="958" ht="10.5" customHeight="1" x14ac:dyDescent="0.25"/>
    <row r="959" ht="10.5" customHeight="1" x14ac:dyDescent="0.25"/>
    <row r="960" ht="10.5" customHeight="1" x14ac:dyDescent="0.25"/>
    <row r="961" ht="10.5" customHeight="1" x14ac:dyDescent="0.25"/>
    <row r="962" ht="10.5" customHeight="1" x14ac:dyDescent="0.25"/>
    <row r="963" ht="10.5" customHeight="1" x14ac:dyDescent="0.25"/>
    <row r="964" ht="10.5" customHeight="1" x14ac:dyDescent="0.25"/>
    <row r="965" ht="10.5" customHeight="1" x14ac:dyDescent="0.25"/>
    <row r="966" ht="10.5" customHeight="1" x14ac:dyDescent="0.25"/>
    <row r="967" ht="10.5" customHeight="1" x14ac:dyDescent="0.25"/>
    <row r="968" ht="10.5" customHeight="1" x14ac:dyDescent="0.25"/>
    <row r="969" ht="10.5" customHeight="1" x14ac:dyDescent="0.25"/>
    <row r="970" ht="10.5" customHeight="1" x14ac:dyDescent="0.25"/>
    <row r="971" ht="10.5" customHeight="1" x14ac:dyDescent="0.25"/>
    <row r="972" ht="10.5" customHeight="1" x14ac:dyDescent="0.25"/>
    <row r="973" ht="10.5" customHeight="1" x14ac:dyDescent="0.25"/>
    <row r="974" ht="10.5" customHeight="1" x14ac:dyDescent="0.25"/>
    <row r="975" ht="10.5" customHeight="1" x14ac:dyDescent="0.25"/>
    <row r="976" ht="10.5" customHeight="1" x14ac:dyDescent="0.25"/>
    <row r="977" ht="10.5" customHeight="1" x14ac:dyDescent="0.25"/>
    <row r="978" ht="10.5" customHeight="1" x14ac:dyDescent="0.25"/>
    <row r="979" ht="10.5" customHeight="1" x14ac:dyDescent="0.25"/>
    <row r="980" ht="10.5" customHeight="1" x14ac:dyDescent="0.25"/>
    <row r="981" ht="10.5" customHeight="1" x14ac:dyDescent="0.25"/>
    <row r="982" ht="10.5" customHeight="1" x14ac:dyDescent="0.25"/>
    <row r="983" ht="10.5" customHeight="1" x14ac:dyDescent="0.25"/>
    <row r="984" ht="10.5" customHeight="1" x14ac:dyDescent="0.25"/>
    <row r="985" ht="10.5" customHeight="1" x14ac:dyDescent="0.25"/>
    <row r="986" ht="10.5" customHeight="1" x14ac:dyDescent="0.25"/>
    <row r="987" ht="10.5" customHeight="1" x14ac:dyDescent="0.25"/>
    <row r="988" ht="10.5" customHeight="1" x14ac:dyDescent="0.25"/>
    <row r="989" ht="10.5" customHeight="1" x14ac:dyDescent="0.25"/>
    <row r="990" ht="10.5" customHeight="1" x14ac:dyDescent="0.25"/>
    <row r="991" ht="10.5" customHeight="1" x14ac:dyDescent="0.25"/>
    <row r="992" ht="10.5" customHeight="1" x14ac:dyDescent="0.25"/>
    <row r="993" ht="10.5" customHeight="1" x14ac:dyDescent="0.25"/>
    <row r="994" ht="10.5" customHeight="1" x14ac:dyDescent="0.25"/>
    <row r="995" ht="10.5" customHeight="1" x14ac:dyDescent="0.25"/>
    <row r="996" ht="10.5" customHeight="1" x14ac:dyDescent="0.25"/>
    <row r="997" ht="10.5" customHeight="1" x14ac:dyDescent="0.25"/>
  </sheetData>
  <conditionalFormatting sqref="D28:F29">
    <cfRule type="cellIs" dxfId="0" priority="1" operator="equal">
      <formula>"not ok"</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7"/>
  <sheetViews>
    <sheetView workbookViewId="0"/>
  </sheetViews>
  <sheetFormatPr defaultColWidth="14.453125" defaultRowHeight="12.5" x14ac:dyDescent="0.25"/>
  <cols>
    <col min="1" max="1" width="3.7265625" style="1" customWidth="1"/>
    <col min="2" max="2" width="42" style="1" customWidth="1"/>
    <col min="3" max="3" width="12" style="45" customWidth="1"/>
    <col min="4" max="4" width="34" style="1" customWidth="1"/>
    <col min="5" max="7" width="14.453125" style="1"/>
    <col min="8" max="8" width="16.1796875" style="1" customWidth="1"/>
    <col min="9" max="16384" width="14.453125" style="1"/>
  </cols>
  <sheetData>
    <row r="1" spans="1:8" ht="15.5" customHeight="1" x14ac:dyDescent="0.25">
      <c r="C1" s="1"/>
    </row>
    <row r="2" spans="1:8" ht="19.5" customHeight="1" x14ac:dyDescent="0.25">
      <c r="B2" s="130" t="s">
        <v>45</v>
      </c>
      <c r="C2" s="128"/>
      <c r="D2" s="66"/>
      <c r="E2" s="66"/>
      <c r="F2" s="66"/>
      <c r="G2" s="66"/>
    </row>
    <row r="3" spans="1:8" ht="15.5" customHeight="1" x14ac:dyDescent="0.25">
      <c r="B3" s="21" t="s">
        <v>83</v>
      </c>
      <c r="C3" s="128"/>
      <c r="D3" s="66"/>
      <c r="E3" s="66"/>
      <c r="F3" s="66"/>
      <c r="G3" s="66"/>
    </row>
    <row r="4" spans="1:8" ht="15.5" customHeight="1" x14ac:dyDescent="0.25">
      <c r="C4" s="1"/>
    </row>
    <row r="5" spans="1:8" ht="15.5" customHeight="1" x14ac:dyDescent="0.25">
      <c r="B5" s="12"/>
      <c r="C5" s="231" t="s">
        <v>99</v>
      </c>
      <c r="D5" s="231" t="s">
        <v>102</v>
      </c>
      <c r="E5" s="16" t="s">
        <v>251</v>
      </c>
      <c r="F5" s="13" t="s">
        <v>252</v>
      </c>
      <c r="G5" s="13" t="s">
        <v>253</v>
      </c>
      <c r="H5" s="231" t="s">
        <v>328</v>
      </c>
    </row>
    <row r="6" spans="1:8" s="81" customFormat="1" ht="15.5" customHeight="1" x14ac:dyDescent="0.25">
      <c r="A6" s="1"/>
      <c r="B6" s="1"/>
      <c r="C6" s="82"/>
      <c r="D6" s="257">
        <v>46600</v>
      </c>
      <c r="E6" s="257">
        <v>46965</v>
      </c>
      <c r="F6" s="257">
        <v>47331</v>
      </c>
      <c r="G6" s="258">
        <f>DATE(YEAR(F6)+1,MONTH(F6),DAY(F6))</f>
        <v>47696</v>
      </c>
      <c r="H6" s="257">
        <f>G6</f>
        <v>47696</v>
      </c>
    </row>
    <row r="7" spans="1:8" ht="15.5" customHeight="1" x14ac:dyDescent="0.25">
      <c r="B7" s="59" t="s">
        <v>329</v>
      </c>
      <c r="C7" s="259"/>
      <c r="D7" s="260"/>
      <c r="E7" s="59"/>
      <c r="F7" s="59"/>
      <c r="G7" s="59"/>
      <c r="H7" s="261"/>
    </row>
    <row r="8" spans="1:8" ht="15.5" customHeight="1" x14ac:dyDescent="0.25">
      <c r="B8" s="66"/>
      <c r="C8" s="128"/>
      <c r="D8" s="49"/>
    </row>
    <row r="9" spans="1:8" ht="15.5" customHeight="1" x14ac:dyDescent="0.25">
      <c r="B9" s="262" t="s">
        <v>330</v>
      </c>
      <c r="C9" s="281" t="s">
        <v>33</v>
      </c>
      <c r="D9" s="2">
        <f>'5Y – Results'!C12</f>
        <v>-226022.50750000001</v>
      </c>
      <c r="E9" s="2">
        <f>'5Y – Results'!D12</f>
        <v>19835030.355211653</v>
      </c>
      <c r="F9" s="2">
        <f>'5Y – Results'!E12</f>
        <v>51283484.558892824</v>
      </c>
      <c r="G9" s="2">
        <f>'5Y – Results'!E12</f>
        <v>51283484.558892824</v>
      </c>
      <c r="H9" s="34"/>
    </row>
    <row r="10" spans="1:8" ht="15.5" customHeight="1" x14ac:dyDescent="0.25">
      <c r="B10" s="262" t="s">
        <v>331</v>
      </c>
      <c r="C10" s="281" t="s">
        <v>33</v>
      </c>
      <c r="D10" s="2">
        <f>'5Y – Results'!C17</f>
        <v>0</v>
      </c>
      <c r="E10" s="2">
        <f>'5Y – Results'!D17</f>
        <v>3861322.154594447</v>
      </c>
      <c r="F10" s="2">
        <f>'5Y – Results'!E17</f>
        <v>10769531.757367492</v>
      </c>
      <c r="G10" s="2">
        <f>'5Y – Results'!E17</f>
        <v>10769531.757367492</v>
      </c>
      <c r="H10" s="34"/>
    </row>
    <row r="11" spans="1:8" ht="15.5" customHeight="1" x14ac:dyDescent="0.25">
      <c r="B11" s="66" t="s">
        <v>332</v>
      </c>
      <c r="C11" s="128" t="s">
        <v>33</v>
      </c>
      <c r="D11" s="295">
        <f>D9-D10</f>
        <v>-226022.50750000001</v>
      </c>
      <c r="E11" s="49">
        <f>E9-E10</f>
        <v>15973708.200617205</v>
      </c>
      <c r="F11" s="49">
        <f>F9-F10</f>
        <v>40513952.801525332</v>
      </c>
      <c r="G11" s="49">
        <f>G9-G10</f>
        <v>40513952.801525332</v>
      </c>
      <c r="H11" s="263"/>
    </row>
    <row r="12" spans="1:8" ht="15.5" customHeight="1" x14ac:dyDescent="0.25">
      <c r="B12" s="262" t="s">
        <v>264</v>
      </c>
      <c r="C12" s="82" t="s">
        <v>33</v>
      </c>
      <c r="D12" s="2">
        <f>'5Y – Results'!C11</f>
        <v>0</v>
      </c>
      <c r="E12" s="264">
        <f>'5Y – Results'!D11</f>
        <v>0</v>
      </c>
      <c r="F12" s="264">
        <f>'5Y – Results'!E11</f>
        <v>0</v>
      </c>
      <c r="G12" s="264">
        <f>'5Y – Results'!E11</f>
        <v>0</v>
      </c>
      <c r="H12" s="34"/>
    </row>
    <row r="13" spans="1:8" ht="15.5" customHeight="1" x14ac:dyDescent="0.25">
      <c r="B13" s="262" t="s">
        <v>333</v>
      </c>
      <c r="C13" s="45" t="s">
        <v>33</v>
      </c>
      <c r="D13" s="2">
        <v>-25000</v>
      </c>
      <c r="E13" s="2">
        <v>0</v>
      </c>
      <c r="F13" s="2">
        <v>0</v>
      </c>
      <c r="G13" s="2">
        <v>0</v>
      </c>
      <c r="H13" s="34"/>
    </row>
    <row r="14" spans="1:8" ht="15.5" customHeight="1" x14ac:dyDescent="0.25">
      <c r="B14" s="262" t="s">
        <v>334</v>
      </c>
      <c r="C14" s="82" t="s">
        <v>33</v>
      </c>
      <c r="D14" s="2">
        <v>0</v>
      </c>
      <c r="E14" s="264">
        <v>0</v>
      </c>
      <c r="F14" s="264">
        <v>0</v>
      </c>
      <c r="G14" s="264">
        <f>-'5Y – Results'!E21</f>
        <v>0</v>
      </c>
      <c r="H14" s="34"/>
    </row>
    <row r="15" spans="1:8" ht="15.5" customHeight="1" x14ac:dyDescent="0.25">
      <c r="B15" s="282" t="s">
        <v>329</v>
      </c>
      <c r="C15" s="283" t="s">
        <v>33</v>
      </c>
      <c r="D15" s="294">
        <f>D11+D12+D13+D14</f>
        <v>-251022.50750000001</v>
      </c>
      <c r="E15" s="284">
        <f>E11+E12+E13+E14</f>
        <v>15973708.200617205</v>
      </c>
      <c r="F15" s="284">
        <f>F11+F12+F13+F14</f>
        <v>40513952.801525332</v>
      </c>
      <c r="G15" s="284">
        <f>SUM(G11:G14)</f>
        <v>40513952.801525332</v>
      </c>
      <c r="H15" s="285">
        <f>D27</f>
        <v>456423012.57414615</v>
      </c>
    </row>
    <row r="16" spans="1:8" ht="15.5" customHeight="1" x14ac:dyDescent="0.25">
      <c r="B16" s="66"/>
      <c r="C16" s="128"/>
      <c r="D16" s="66"/>
      <c r="E16" s="49"/>
      <c r="F16" s="49"/>
      <c r="G16" s="49"/>
    </row>
    <row r="17" spans="1:8" ht="15.5" customHeight="1" x14ac:dyDescent="0.25">
      <c r="B17" s="59" t="s">
        <v>335</v>
      </c>
      <c r="C17" s="259"/>
      <c r="D17" s="59"/>
      <c r="E17" s="265"/>
      <c r="F17" s="265"/>
      <c r="G17" s="265"/>
      <c r="H17" s="261"/>
    </row>
    <row r="18" spans="1:8" ht="15.5" customHeight="1" x14ac:dyDescent="0.25">
      <c r="B18" s="66"/>
      <c r="C18" s="1"/>
      <c r="D18" s="286"/>
      <c r="E18" s="105"/>
      <c r="F18" s="105"/>
      <c r="G18" s="105"/>
    </row>
    <row r="19" spans="1:8" ht="15.5" customHeight="1" x14ac:dyDescent="0.25">
      <c r="B19" s="1" t="s">
        <v>283</v>
      </c>
      <c r="C19" s="45" t="s">
        <v>33</v>
      </c>
      <c r="D19" s="289">
        <v>1000000</v>
      </c>
      <c r="E19" s="266"/>
      <c r="F19" s="266"/>
      <c r="G19" s="266"/>
    </row>
    <row r="20" spans="1:8" ht="15.5" customHeight="1" x14ac:dyDescent="0.25">
      <c r="B20" s="1" t="s">
        <v>336</v>
      </c>
      <c r="C20" s="45" t="s">
        <v>15</v>
      </c>
      <c r="D20" s="287">
        <v>0.35</v>
      </c>
      <c r="E20" s="269" t="s">
        <v>337</v>
      </c>
      <c r="F20" s="207"/>
      <c r="G20" s="207"/>
    </row>
    <row r="21" spans="1:8" ht="15.5" customHeight="1" x14ac:dyDescent="0.25">
      <c r="B21" s="1" t="s">
        <v>338</v>
      </c>
      <c r="C21" s="45" t="s">
        <v>15</v>
      </c>
      <c r="D21" s="290">
        <v>0.03</v>
      </c>
      <c r="E21" s="207"/>
      <c r="F21" s="207"/>
      <c r="G21" s="207"/>
    </row>
    <row r="22" spans="1:8" ht="15.5" customHeight="1" x14ac:dyDescent="0.25">
      <c r="B22" s="11" t="s">
        <v>339</v>
      </c>
      <c r="C22" s="267" t="s">
        <v>34</v>
      </c>
      <c r="D22" s="288">
        <v>8.9</v>
      </c>
      <c r="E22" s="269" t="s">
        <v>340</v>
      </c>
      <c r="F22" s="207"/>
      <c r="G22" s="207"/>
    </row>
    <row r="23" spans="1:8" ht="15.5" customHeight="1" x14ac:dyDescent="0.25">
      <c r="B23" s="11"/>
      <c r="C23" s="267"/>
      <c r="D23" s="267"/>
      <c r="E23" s="207"/>
      <c r="F23" s="207"/>
      <c r="G23" s="207"/>
    </row>
    <row r="24" spans="1:8" ht="15.5" customHeight="1" x14ac:dyDescent="0.25">
      <c r="B24" s="232" t="s">
        <v>328</v>
      </c>
      <c r="C24" s="268"/>
      <c r="D24" s="268"/>
      <c r="E24" s="129"/>
      <c r="F24" s="129"/>
      <c r="G24" s="129"/>
    </row>
    <row r="25" spans="1:8" ht="15.5" customHeight="1" x14ac:dyDescent="0.25">
      <c r="B25" s="245" t="s">
        <v>341</v>
      </c>
      <c r="C25" s="269" t="s">
        <v>33</v>
      </c>
      <c r="D25" s="270">
        <f>'5Y – Results'!E9*$D$22</f>
        <v>456423012.57414615</v>
      </c>
      <c r="E25" s="207"/>
      <c r="F25" s="207"/>
      <c r="G25" s="207"/>
    </row>
    <row r="26" spans="1:8" ht="15.5" customHeight="1" x14ac:dyDescent="0.25">
      <c r="B26" s="238" t="s">
        <v>342</v>
      </c>
      <c r="C26" s="269" t="s">
        <v>33</v>
      </c>
      <c r="D26" s="270">
        <f>'5Y – Results'!C22/(1+$D$20)^1+'5Y – Results'!D22/(1+$D$20)^2+'5Y – Results'!E22/(1+$D$20)^3+'5Y – Results'!F22/(1+$D$20)^4+'5Y – Results'!G22/(1+$D$20)^5+('5Y – Results'!G22*(1+$D$21)/($D$20-$D$21))/(1+$D$20)^5</f>
        <v>188149217.98045689</v>
      </c>
      <c r="E26" s="271"/>
      <c r="F26" s="271"/>
      <c r="G26" s="271"/>
    </row>
    <row r="27" spans="1:8" ht="15.5" customHeight="1" x14ac:dyDescent="0.25">
      <c r="B27" s="238" t="s">
        <v>343</v>
      </c>
      <c r="C27" s="269" t="s">
        <v>33</v>
      </c>
      <c r="D27" s="270">
        <f>D25</f>
        <v>456423012.57414615</v>
      </c>
      <c r="E27" s="271"/>
      <c r="F27" s="271"/>
      <c r="G27" s="271"/>
    </row>
    <row r="28" spans="1:8" ht="15.5" customHeight="1" x14ac:dyDescent="0.25">
      <c r="B28" s="11"/>
      <c r="C28" s="272"/>
      <c r="D28" s="273"/>
      <c r="E28" s="274"/>
      <c r="F28" s="274"/>
      <c r="G28" s="274"/>
    </row>
    <row r="29" spans="1:8" ht="15.5" customHeight="1" x14ac:dyDescent="0.25">
      <c r="A29" s="127"/>
      <c r="B29" s="11" t="s">
        <v>344</v>
      </c>
      <c r="C29" s="275" t="s">
        <v>33</v>
      </c>
      <c r="D29" s="276">
        <f>D27/(1+$D$20)^3</f>
        <v>185509531.09755468</v>
      </c>
      <c r="E29" s="271"/>
      <c r="F29" s="271"/>
      <c r="G29" s="271"/>
    </row>
    <row r="30" spans="1:8" ht="15.5" customHeight="1" x14ac:dyDescent="0.25">
      <c r="A30" s="127"/>
      <c r="B30" s="11" t="s">
        <v>345</v>
      </c>
      <c r="C30" s="275" t="s">
        <v>15</v>
      </c>
      <c r="D30" s="277">
        <v>1.391E-2</v>
      </c>
      <c r="E30" s="267"/>
      <c r="F30" s="267"/>
      <c r="G30" s="267"/>
    </row>
    <row r="31" spans="1:8" ht="15.5" customHeight="1" x14ac:dyDescent="0.25">
      <c r="B31" s="11" t="s">
        <v>346</v>
      </c>
      <c r="C31" s="269" t="s">
        <v>33</v>
      </c>
      <c r="D31" s="270">
        <f>'5Y – Results'!E31</f>
        <v>56127280.979999997</v>
      </c>
      <c r="E31" s="278"/>
      <c r="F31" s="278"/>
      <c r="G31" s="278"/>
    </row>
    <row r="32" spans="1:8" ht="15.5" customHeight="1" x14ac:dyDescent="0.25">
      <c r="B32" s="11" t="s">
        <v>347</v>
      </c>
      <c r="C32" s="269" t="s">
        <v>33</v>
      </c>
      <c r="D32" s="270">
        <f>'Balance Sheet'!F22</f>
        <v>1698515.33125</v>
      </c>
      <c r="E32" s="278"/>
      <c r="F32" s="278"/>
      <c r="G32" s="278"/>
    </row>
    <row r="33" spans="2:4" ht="26" customHeight="1" x14ac:dyDescent="0.25">
      <c r="B33" s="291" t="s">
        <v>348</v>
      </c>
      <c r="C33" s="292" t="s">
        <v>33</v>
      </c>
      <c r="D33" s="293">
        <f>D27+D31-D32</f>
        <v>510851778.22289616</v>
      </c>
    </row>
    <row r="34" spans="2:4" ht="15.5" customHeight="1" x14ac:dyDescent="0.25">
      <c r="B34" s="11" t="s">
        <v>349</v>
      </c>
      <c r="C34" s="279" t="s">
        <v>33</v>
      </c>
      <c r="D34" s="280">
        <f>D33*D30</f>
        <v>7105948.2350804862</v>
      </c>
    </row>
    <row r="35" spans="2:4" ht="10.4" customHeight="1" x14ac:dyDescent="0.25">
      <c r="B35" s="11"/>
    </row>
    <row r="36" spans="2:4" ht="10.4" customHeight="1" x14ac:dyDescent="0.25">
      <c r="B36" s="11"/>
    </row>
    <row r="37" spans="2:4" ht="10.4" customHeight="1" x14ac:dyDescent="0.25">
      <c r="B37" s="1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34"/>
  <sheetViews>
    <sheetView workbookViewId="0"/>
  </sheetViews>
  <sheetFormatPr defaultColWidth="14.453125" defaultRowHeight="12.5" x14ac:dyDescent="0.25"/>
  <cols>
    <col min="1" max="1" width="4.36328125" style="1" customWidth="1"/>
    <col min="2" max="2" width="42" style="1" customWidth="1"/>
    <col min="3" max="5" width="15" style="1" customWidth="1"/>
    <col min="6" max="27" width="8.7265625" style="1" customWidth="1"/>
    <col min="28" max="16384" width="14.453125" style="1"/>
  </cols>
  <sheetData>
    <row r="1" spans="2:5" ht="15.5" customHeight="1" x14ac:dyDescent="0.25"/>
    <row r="2" spans="2:5" ht="19.5" customHeight="1" x14ac:dyDescent="0.25">
      <c r="B2" s="20" t="s">
        <v>45</v>
      </c>
    </row>
    <row r="3" spans="2:5" ht="15.5" customHeight="1" x14ac:dyDescent="0.25">
      <c r="B3" s="255" t="s">
        <v>85</v>
      </c>
    </row>
    <row r="4" spans="2:5" ht="15.5" customHeight="1" x14ac:dyDescent="0.25"/>
    <row r="5" spans="2:5" ht="15.5" customHeight="1" x14ac:dyDescent="0.25">
      <c r="B5" s="12" t="s">
        <v>350</v>
      </c>
      <c r="C5" s="231" t="s">
        <v>251</v>
      </c>
      <c r="D5" s="231" t="s">
        <v>252</v>
      </c>
      <c r="E5" s="231" t="s">
        <v>253</v>
      </c>
    </row>
    <row r="6" spans="2:5" ht="15.5" customHeight="1" x14ac:dyDescent="0.25">
      <c r="B6" s="243" t="s">
        <v>351</v>
      </c>
      <c r="C6" s="244">
        <f>0</f>
        <v>0</v>
      </c>
      <c r="D6" s="244">
        <f>0</f>
        <v>0</v>
      </c>
      <c r="E6" s="244">
        <f>Valuation!D27</f>
        <v>456423012.57414615</v>
      </c>
    </row>
    <row r="7" spans="2:5" ht="15.5" customHeight="1" x14ac:dyDescent="0.25">
      <c r="B7" s="245" t="s">
        <v>352</v>
      </c>
      <c r="C7" s="246">
        <f>'Balance Sheet'!D16</f>
        <v>367744.98</v>
      </c>
      <c r="D7" s="246">
        <f>'Balance Sheet'!E16</f>
        <v>15688328.18</v>
      </c>
      <c r="E7" s="246">
        <f>'Balance Sheet'!F16</f>
        <v>56127280.979999997</v>
      </c>
    </row>
    <row r="8" spans="2:5" ht="15.5" customHeight="1" x14ac:dyDescent="0.25">
      <c r="B8" s="245" t="s">
        <v>353</v>
      </c>
      <c r="C8" s="246">
        <f>'Balance Sheet'!D22</f>
        <v>2426640.3312499998</v>
      </c>
      <c r="D8" s="246">
        <f>'Balance Sheet'!E22</f>
        <v>1773515.33125</v>
      </c>
      <c r="E8" s="246">
        <f>'Balance Sheet'!F22</f>
        <v>1698515.33125</v>
      </c>
    </row>
    <row r="9" spans="2:5" ht="15.5" customHeight="1" x14ac:dyDescent="0.25">
      <c r="B9" s="250" t="s">
        <v>354</v>
      </c>
      <c r="C9" s="251">
        <f>C7-C8+C6</f>
        <v>-2058895.3512499998</v>
      </c>
      <c r="D9" s="251">
        <f>D7-D8+D6</f>
        <v>13914812.848749999</v>
      </c>
      <c r="E9" s="251">
        <f>E7-E8+E6</f>
        <v>510851778.22289616</v>
      </c>
    </row>
    <row r="10" spans="2:5" ht="15.5" customHeight="1" x14ac:dyDescent="0.25">
      <c r="B10" s="245" t="s">
        <v>345</v>
      </c>
      <c r="C10" s="247">
        <f>Valuation!D30</f>
        <v>1.391E-2</v>
      </c>
      <c r="D10" s="247">
        <f>Valuation!D30</f>
        <v>1.391E-2</v>
      </c>
      <c r="E10" s="247">
        <f>Valuation!D30</f>
        <v>1.391E-2</v>
      </c>
    </row>
    <row r="11" spans="2:5" ht="15.5" customHeight="1" x14ac:dyDescent="0.25">
      <c r="B11" s="248" t="s">
        <v>349</v>
      </c>
      <c r="C11" s="249">
        <f>C9*C10</f>
        <v>-28639.2343358875</v>
      </c>
      <c r="D11" s="249">
        <f>D9*D10</f>
        <v>193555.04672611249</v>
      </c>
      <c r="E11" s="249">
        <f>E9*E10</f>
        <v>7105948.2350804862</v>
      </c>
    </row>
    <row r="12" spans="2:5" ht="15.5" customHeight="1" x14ac:dyDescent="0.25">
      <c r="B12" s="232"/>
      <c r="C12" s="233"/>
      <c r="D12" s="233"/>
      <c r="E12" s="233"/>
    </row>
    <row r="13" spans="2:5" ht="15.5" customHeight="1" x14ac:dyDescent="0.25">
      <c r="B13" s="232"/>
      <c r="C13" s="233"/>
      <c r="D13" s="233"/>
      <c r="E13" s="233"/>
    </row>
    <row r="14" spans="2:5" ht="15.5" customHeight="1" x14ac:dyDescent="0.25">
      <c r="B14" s="11"/>
      <c r="C14" s="11"/>
      <c r="D14" s="11"/>
      <c r="E14" s="11"/>
    </row>
    <row r="15" spans="2:5" ht="15.5" customHeight="1" x14ac:dyDescent="0.25">
      <c r="B15" s="59" t="s">
        <v>355</v>
      </c>
      <c r="C15" s="59"/>
      <c r="D15" s="59"/>
      <c r="E15" s="59"/>
    </row>
    <row r="16" spans="2:5" ht="15.5" customHeight="1" x14ac:dyDescent="0.25">
      <c r="B16" s="234"/>
      <c r="C16" s="11"/>
      <c r="D16" s="11"/>
      <c r="E16" s="11"/>
    </row>
    <row r="17" spans="2:9" ht="15.5" customHeight="1" x14ac:dyDescent="0.25">
      <c r="B17" s="11" t="s">
        <v>283</v>
      </c>
      <c r="C17" s="233">
        <v>1000000</v>
      </c>
      <c r="D17" s="11"/>
      <c r="E17" s="11"/>
    </row>
    <row r="18" spans="2:9" ht="15.5" customHeight="1" x14ac:dyDescent="0.25">
      <c r="B18" s="11" t="s">
        <v>345</v>
      </c>
      <c r="C18" s="235">
        <v>1.391E-2</v>
      </c>
      <c r="D18" s="236"/>
      <c r="E18" s="11"/>
    </row>
    <row r="19" spans="2:9" ht="15.5" customHeight="1" x14ac:dyDescent="0.25">
      <c r="B19" s="232"/>
      <c r="C19" s="237"/>
      <c r="D19" s="11"/>
      <c r="E19" s="11"/>
    </row>
    <row r="20" spans="2:9" ht="15.5" customHeight="1" x14ac:dyDescent="0.25">
      <c r="B20" s="11"/>
      <c r="C20" s="11"/>
      <c r="D20" s="233"/>
      <c r="E20" s="238"/>
    </row>
    <row r="21" spans="2:9" ht="21.5" customHeight="1" x14ac:dyDescent="0.25">
      <c r="B21" s="252" t="s">
        <v>356</v>
      </c>
      <c r="C21" s="253">
        <f>E11/C17</f>
        <v>7.1059482350804863</v>
      </c>
      <c r="D21" s="11"/>
      <c r="E21" s="11"/>
    </row>
    <row r="22" spans="2:9" ht="15.5" customHeight="1" x14ac:dyDescent="0.25"/>
    <row r="23" spans="2:9" ht="15.5" customHeight="1" x14ac:dyDescent="0.25">
      <c r="B23" s="254" t="s">
        <v>357</v>
      </c>
      <c r="C23" s="298">
        <f>(E11-C17)/C17</f>
        <v>6.1059482350804863</v>
      </c>
    </row>
    <row r="24" spans="2:9" ht="15.5" customHeight="1" x14ac:dyDescent="0.25">
      <c r="C24" s="239"/>
      <c r="G24" s="233"/>
    </row>
    <row r="25" spans="2:9" ht="15.5" customHeight="1" x14ac:dyDescent="0.25">
      <c r="B25" s="1" t="s">
        <v>358</v>
      </c>
      <c r="E25" s="239"/>
      <c r="I25" s="240"/>
    </row>
    <row r="26" spans="2:9" ht="15.5" customHeight="1" x14ac:dyDescent="0.25">
      <c r="B26" s="256" t="s">
        <v>359</v>
      </c>
      <c r="C26" s="241"/>
      <c r="D26" s="241"/>
    </row>
    <row r="33" spans="4:9" ht="10.4" customHeight="1" x14ac:dyDescent="0.25">
      <c r="D33" s="242"/>
    </row>
    <row r="34" spans="4:9" ht="10.4" customHeight="1" x14ac:dyDescent="0.25">
      <c r="I34" s="1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13</vt:i4>
      </vt:variant>
    </vt:vector>
  </HeadingPairs>
  <TitlesOfParts>
    <vt:vector size="13" baseType="lpstr">
      <vt:lpstr>Info</vt:lpstr>
      <vt:lpstr>Inputs</vt:lpstr>
      <vt:lpstr>Calculations</vt:lpstr>
      <vt:lpstr>Income Statement</vt:lpstr>
      <vt:lpstr>Financing</vt:lpstr>
      <vt:lpstr>Cash Flow</vt:lpstr>
      <vt:lpstr>Balance Sheet</vt:lpstr>
      <vt:lpstr>Valuation</vt:lpstr>
      <vt:lpstr>Investor Return</vt:lpstr>
      <vt:lpstr>5Y – Assumptions</vt:lpstr>
      <vt:lpstr>5Y – Revenue Model</vt:lpstr>
      <vt:lpstr>5Y – Cost Model</vt:lpstr>
      <vt:lpstr>5Y –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Boér László</dc:creator>
  <cp:lastModifiedBy>Boér László</cp:lastModifiedBy>
  <dcterms:created xsi:type="dcterms:W3CDTF">2026-07-17T16:44:00Z</dcterms:created>
  <dcterms:modified xsi:type="dcterms:W3CDTF">2026-07-17T17:14:29Z</dcterms:modified>
</cp:coreProperties>
</file>